
<file path=[Content_Types].xml><?xml version="1.0" encoding="utf-8"?>
<Types xmlns="http://schemas.openxmlformats.org/package/2006/content-types">
  <Override PartName="/xl/activeX/activeX4.bin" ContentType="application/vnd.ms-office.activeX"/>
  <Override PartName="/xl/activeX/activeX9.xml" ContentType="application/vnd.ms-office.activeX+xml"/>
  <Override PartName="/xl/activeX/activeX25.bin" ContentType="application/vnd.ms-office.activeX"/>
  <Override PartName="/xl/styles.xml" ContentType="application/vnd.openxmlformats-officedocument.spreadsheetml.styles+xml"/>
  <Override PartName="/xl/activeX/activeX14.bin" ContentType="application/vnd.ms-office.activeX"/>
  <Override PartName="/xl/activeX/activeX19.xml" ContentType="application/vnd.ms-office.activeX+xml"/>
  <Override PartName="/xl/activeX/activeX32.bin" ContentType="application/vnd.ms-office.activeX"/>
  <Override PartName="/xl/worksheets/sheet7.xml" ContentType="application/vnd.openxmlformats-officedocument.spreadsheetml.worksheet+xml"/>
  <Override PartName="/xl/activeX/activeX5.xml" ContentType="application/vnd.ms-office.activeX+xml"/>
  <Override PartName="/xl/activeX/activeX21.bin" ContentType="application/vnd.ms-office.activeX"/>
  <Override PartName="/xl/activeX/activeX37.xml" ContentType="application/vnd.ms-office.activeX+xml"/>
  <Default Extension="xml" ContentType="application/xml"/>
  <Override PartName="/xl/activeX/activeX10.bin" ContentType="application/vnd.ms-office.activeX"/>
  <Override PartName="/xl/activeX/activeX15.xml" ContentType="application/vnd.ms-office.activeX+xml"/>
  <Override PartName="/xl/comments4.xml" ContentType="application/vnd.openxmlformats-officedocument.spreadsheetml.comments+xml"/>
  <Override PartName="/xl/drawings/drawing2.xml" ContentType="application/vnd.openxmlformats-officedocument.drawing+xml"/>
  <Override PartName="/xl/activeX/activeX26.xml" ContentType="application/vnd.ms-office.activeX+xml"/>
  <Override PartName="/xl/worksheets/sheet3.xml" ContentType="application/vnd.openxmlformats-officedocument.spreadsheetml.worksheet+xml"/>
  <Override PartName="/xl/comments2.xml" ContentType="application/vnd.openxmlformats-officedocument.spreadsheetml.comments+xml"/>
  <Override PartName="/xl/activeX/activeX1.xml" ContentType="application/vnd.ms-office.activeX+xml"/>
  <Override PartName="/xl/activeX/activeX13.xml" ContentType="application/vnd.ms-office.activeX+xml"/>
  <Override PartName="/xl/activeX/activeX22.xml" ContentType="application/vnd.ms-office.activeX+xml"/>
  <Override PartName="/xl/activeX/activeX33.xml" ContentType="application/vnd.ms-office.activeX+xml"/>
  <Override PartName="/xl/activeX/activeX42.xml" ContentType="application/vnd.ms-office.activeX+xml"/>
  <Override PartName="/docProps/custom.xml" ContentType="application/vnd.openxmlformats-officedocument.custom-properties+xml"/>
  <Override PartName="/xl/worksheets/sheet1.xml" ContentType="application/vnd.openxmlformats-officedocument.spreadsheetml.worksheet+xml"/>
  <Override PartName="/xl/activeX/activeX9.bin" ContentType="application/vnd.ms-office.activeX"/>
  <Override PartName="/xl/activeX/activeX11.xml" ContentType="application/vnd.ms-office.activeX+xml"/>
  <Override PartName="/xl/activeX/activeX20.xml" ContentType="application/vnd.ms-office.activeX+xml"/>
  <Override PartName="/xl/activeX/activeX31.xml" ContentType="application/vnd.ms-office.activeX+xml"/>
  <Override PartName="/xl/activeX/activeX40.xml" ContentType="application/vnd.ms-office.activeX+xml"/>
  <Override PartName="/xl/sharedStrings.xml" ContentType="application/vnd.openxmlformats-officedocument.spreadsheetml.sharedStrings+xml"/>
  <Override PartName="/xl/activeX/activeX7.bin" ContentType="application/vnd.ms-office.activeX"/>
  <Override PartName="/xl/activeX/activeX19.bin" ContentType="application/vnd.ms-office.activeX"/>
  <Override PartName="/xl/activeX/activeX39.bin" ContentType="application/vnd.ms-office.activeX"/>
  <Override PartName="/xl/activeX/activeX5.bin" ContentType="application/vnd.ms-office.activeX"/>
  <Override PartName="/xl/activeX/activeX17.bin" ContentType="application/vnd.ms-office.activeX"/>
  <Override PartName="/xl/activeX/activeX28.bin" ContentType="application/vnd.ms-office.activeX"/>
  <Override PartName="/xl/activeX/activeX37.bin" ContentType="application/vnd.ms-office.activeX"/>
  <Default Extension="bin" ContentType="application/vnd.openxmlformats-officedocument.spreadsheetml.printerSettings"/>
  <Override PartName="/xl/activeX/activeX3.bin" ContentType="application/vnd.ms-office.activeX"/>
  <Override PartName="/xl/activeX/activeX15.bin" ContentType="application/vnd.ms-office.activeX"/>
  <Default Extension="png" ContentType="image/png"/>
  <Override PartName="/xl/activeX/activeX26.bin" ContentType="application/vnd.ms-office.activeX"/>
  <Override PartName="/xl/activeX/activeX35.bin" ContentType="application/vnd.ms-office.activeX"/>
  <Override PartName="/xl/activeX/activeX1.bin" ContentType="application/vnd.ms-office.activeX"/>
  <Override PartName="/xl/activeX/activeX8.xml" ContentType="application/vnd.ms-office.activeX+xml"/>
  <Override PartName="/xl/activeX/activeX13.bin" ContentType="application/vnd.ms-office.activeX"/>
  <Override PartName="/xl/activeX/activeX22.bin" ContentType="application/vnd.ms-office.activeX"/>
  <Override PartName="/xl/activeX/activeX24.bin" ContentType="application/vnd.ms-office.activeX"/>
  <Override PartName="/xl/activeX/activeX29.xml" ContentType="application/vnd.ms-office.activeX+xml"/>
  <Override PartName="/xl/activeX/activeX33.bin" ContentType="application/vnd.ms-office.activeX"/>
  <Override PartName="/xl/activeX/activeX38.xml" ContentType="application/vnd.ms-office.activeX+xml"/>
  <Override PartName="/xl/activeX/activeX42.bin" ContentType="application/vnd.ms-office.activeX"/>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activeX/activeX6.xml" ContentType="application/vnd.ms-office.activeX+xml"/>
  <Override PartName="/xl/activeX/activeX11.bin" ContentType="application/vnd.ms-office.activeX"/>
  <Override PartName="/xl/activeX/activeX18.xml" ContentType="application/vnd.ms-office.activeX+xml"/>
  <Default Extension="emf" ContentType="image/x-emf"/>
  <Override PartName="/xl/activeX/activeX20.bin" ContentType="application/vnd.ms-office.activeX"/>
  <Override PartName="/xl/activeX/activeX27.xml" ContentType="application/vnd.ms-office.activeX+xml"/>
  <Override PartName="/xl/activeX/activeX31.bin" ContentType="application/vnd.ms-office.activeX"/>
  <Override PartName="/xl/activeX/activeX36.xml" ContentType="application/vnd.ms-office.activeX+xml"/>
  <Override PartName="/xl/activeX/activeX40.bin" ContentType="application/vnd.ms-office.activeX"/>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activeX/activeX2.xml" ContentType="application/vnd.ms-office.activeX+xml"/>
  <Override PartName="/xl/activeX/activeX4.xml" ContentType="application/vnd.ms-office.activeX+xml"/>
  <Override PartName="/xl/activeX/activeX16.xml" ContentType="application/vnd.ms-office.activeX+xml"/>
  <Override PartName="/xl/drawings/drawing3.xml" ContentType="application/vnd.openxmlformats-officedocument.drawing+xml"/>
  <Override PartName="/xl/activeX/activeX25.xml" ContentType="application/vnd.ms-office.activeX+xml"/>
  <Override PartName="/xl/activeX/activeX34.xml" ContentType="application/vnd.ms-office.activeX+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comments3.xml" ContentType="application/vnd.openxmlformats-officedocument.spreadsheetml.comments+xml"/>
  <Override PartName="/xl/drawings/drawing1.xml" ContentType="application/vnd.openxmlformats-officedocument.drawing+xml"/>
  <Override PartName="/xl/activeX/activeX14.xml" ContentType="application/vnd.ms-office.activeX+xml"/>
  <Override PartName="/xl/activeX/activeX23.xml" ContentType="application/vnd.ms-office.activeX+xml"/>
  <Override PartName="/xl/activeX/activeX32.xml" ContentType="application/vnd.ms-office.activeX+xml"/>
  <Override PartName="/xl/activeX/activeX41.xml" ContentType="application/vnd.ms-office.activeX+xml"/>
  <Default Extension="vml" ContentType="application/vnd.openxmlformats-officedocument.vmlDrawing"/>
  <Override PartName="/xl/comments1.xml" ContentType="application/vnd.openxmlformats-officedocument.spreadsheetml.comments+xml"/>
  <Override PartName="/xl/activeX/activeX12.xml" ContentType="application/vnd.ms-office.activeX+xml"/>
  <Override PartName="/xl/activeX/activeX21.xml" ContentType="application/vnd.ms-office.activeX+xml"/>
  <Override PartName="/xl/activeX/activeX30.xml" ContentType="application/vnd.ms-office.activeX+xml"/>
  <Override PartName="/xl/calcChain.xml" ContentType="application/vnd.openxmlformats-officedocument.spreadsheetml.calcChain+xml"/>
  <Override PartName="/xl/activeX/activeX8.bin" ContentType="application/vnd.ms-office.activeX"/>
  <Override PartName="/xl/activeX/activeX10.xml" ContentType="application/vnd.ms-office.activeX+xml"/>
  <Override PartName="/xl/activeX/activeX29.bin" ContentType="application/vnd.ms-office.activeX"/>
  <Override PartName="/xl/activeX/activeX38.bin" ContentType="application/vnd.ms-office.activeX"/>
  <Override PartName="/xl/activeX/activeX6.bin" ContentType="application/vnd.ms-office.activeX"/>
  <Override PartName="/xl/activeX/activeX18.bin" ContentType="application/vnd.ms-office.activeX"/>
  <Override PartName="/xl/activeX/activeX27.bin" ContentType="application/vnd.ms-office.activeX"/>
  <Override PartName="/xl/activeX/activeX36.bin" ContentType="application/vnd.ms-office.activeX"/>
  <Override PartName="/docProps/core.xml" ContentType="application/vnd.openxmlformats-package.core-properties+xml"/>
  <Override PartName="/xl/activeX/activeX2.bin" ContentType="application/vnd.ms-office.activeX"/>
  <Override PartName="/xl/activeX/activeX16.bin" ContentType="application/vnd.ms-office.activeX"/>
  <Override PartName="/xl/activeX/activeX34.bin" ContentType="application/vnd.ms-office.activeX"/>
  <Override PartName="/xl/worksheets/sheet9.xml" ContentType="application/vnd.openxmlformats-officedocument.spreadsheetml.worksheet+xml"/>
  <Override PartName="/xl/theme/theme1.xml" ContentType="application/vnd.openxmlformats-officedocument.theme+xml"/>
  <Override PartName="/xl/activeX/activeX7.xml" ContentType="application/vnd.ms-office.activeX+xml"/>
  <Override PartName="/xl/activeX/activeX23.bin" ContentType="application/vnd.ms-office.activeX"/>
  <Override PartName="/xl/activeX/activeX39.xml" ContentType="application/vnd.ms-office.activeX+xml"/>
  <Override PartName="/xl/activeX/activeX41.bin" ContentType="application/vnd.ms-office.activeX"/>
  <Override PartName="/xl/worksheets/sheet11.xml" ContentType="application/vnd.openxmlformats-officedocument.spreadsheetml.worksheet+xml"/>
  <Override PartName="/xl/activeX/activeX12.bin" ContentType="application/vnd.ms-office.activeX"/>
  <Override PartName="/xl/activeX/activeX17.xml" ContentType="application/vnd.ms-office.activeX+xml"/>
  <Override PartName="/xl/drawings/drawing4.xml" ContentType="application/vnd.openxmlformats-officedocument.drawing+xml"/>
  <Override PartName="/xl/activeX/activeX28.xml" ContentType="application/vnd.ms-office.activeX+xml"/>
  <Override PartName="/xl/activeX/activeX30.bin" ContentType="application/vnd.ms-office.activeX"/>
  <Default Extension="rels" ContentType="application/vnd.openxmlformats-package.relationships+xml"/>
  <Default Extension="wmf" ContentType="image/x-wmf"/>
  <Override PartName="/xl/worksheets/sheet5.xml" ContentType="application/vnd.openxmlformats-officedocument.spreadsheetml.worksheet+xml"/>
  <Override PartName="/xl/activeX/activeX3.xml" ContentType="application/vnd.ms-office.activeX+xml"/>
  <Override PartName="/xl/activeX/activeX24.xml" ContentType="application/vnd.ms-office.activeX+xml"/>
  <Override PartName="/xl/activeX/activeX35.xml" ContentType="application/vnd.ms-office.activeX+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5" yWindow="6135" windowWidth="24240" windowHeight="6180" activeTab="3"/>
  </bookViews>
  <sheets>
    <sheet name="算出表" sheetId="1" r:id="rId1"/>
    <sheet name="算定書" sheetId="2" r:id="rId2"/>
    <sheet name="TOR" sheetId="15" r:id="rId3"/>
    <sheet name="外注付託依頼書" sheetId="12" r:id="rId4"/>
    <sheet name="_注文書" sheetId="19" state="hidden" r:id="rId5"/>
    <sheet name="_請書" sheetId="20" state="hidden" r:id="rId6"/>
    <sheet name="_注文書 （変更）" sheetId="21" state="hidden" r:id="rId7"/>
    <sheet name="_請書 （変更）" sheetId="22" state="hidden" r:id="rId8"/>
    <sheet name="_請求書" sheetId="23" state="hidden" r:id="rId9"/>
    <sheet name="_案内#2" sheetId="24" state="hidden" r:id="rId10"/>
    <sheet name="期間変更依頼" sheetId="18" state="hidden" r:id="rId11"/>
    <sheet name="算出表用テーブル" sheetId="7" r:id="rId12"/>
  </sheets>
  <definedNames>
    <definedName name="_MM1">外注付託依頼書!$R$42</definedName>
    <definedName name="_MM10">外注付託依頼書!$R$51</definedName>
    <definedName name="_MM11">外注付託依頼書!$R$52</definedName>
    <definedName name="_MM12">外注付託依頼書!$R$53</definedName>
    <definedName name="_MM13">外注付託依頼書!$R$54</definedName>
    <definedName name="_MM14">外注付託依頼書!$R$55</definedName>
    <definedName name="_MM15">外注付託依頼書!$R$56</definedName>
    <definedName name="_MM16">外注付託依頼書!$R$57</definedName>
    <definedName name="_MM2">外注付託依頼書!$R$43</definedName>
    <definedName name="_MM3">外注付託依頼書!$R$44</definedName>
    <definedName name="_MM4">外注付託依頼書!$R$45</definedName>
    <definedName name="_MM5">外注付託依頼書!$R$46</definedName>
    <definedName name="_MM6">外注付託依頼書!$R$47</definedName>
    <definedName name="_MM7">外注付託依頼書!$R$48</definedName>
    <definedName name="_MM8">外注付託依頼書!$R$49</definedName>
    <definedName name="_MM9">外注付託依頼書!$R$50</definedName>
    <definedName name="ContractorCode" localSheetId="10">#REF!</definedName>
    <definedName name="ContractorCode">外注付託依頼書!$G$28</definedName>
    <definedName name="ContractorName" localSheetId="10">#REF!</definedName>
    <definedName name="ContractorName">外注付託依頼書!$G$29</definedName>
    <definedName name="ContractStyle" localSheetId="10">#REF!</definedName>
    <definedName name="ContractStyle">外注付託依頼書!$G$25</definedName>
    <definedName name="DailyForeignRate" localSheetId="10">#REF!</definedName>
    <definedName name="DailyForeignRate">外注付託依頼書!$AB$37</definedName>
    <definedName name="DailyUnitPriceForeign" localSheetId="10">#REF!</definedName>
    <definedName name="DailyUnitPriceForeign">外注付託依頼書!$AB$36</definedName>
    <definedName name="DailyUnitPriceYen" localSheetId="10">#REF!</definedName>
    <definedName name="DailyUnitPriceYen">外注付託依頼書!$AB$35</definedName>
    <definedName name="DAY_CALC_MM_TOTAL" localSheetId="10">#REF!</definedName>
    <definedName name="DAY_CALC_MM_TOTAL">外注付託依頼書!$Q$59</definedName>
    <definedName name="DAY_CALC_OS_TOTAL" localSheetId="10">#REF!</definedName>
    <definedName name="DAY_CALC_OS_TOTAL">外注付託依頼書!$V$59</definedName>
    <definedName name="ＤＢ状況" localSheetId="10">期間変更依頼!$BB$127</definedName>
    <definedName name="DB状況">外注付託依頼書!$AQ$112</definedName>
    <definedName name="DispatchPersonName" localSheetId="10">#REF!</definedName>
    <definedName name="DispatchPersonName">外注付託依頼書!$G$30</definedName>
    <definedName name="ETC1ForeignRate" localSheetId="10">#REF!</definedName>
    <definedName name="ETC1ForeignRate">外注付託依頼書!$AB$62</definedName>
    <definedName name="ETC1UnitPriceForeign" localSheetId="10">#REF!</definedName>
    <definedName name="ETC1UnitPriceForeign">外注付託依頼書!$AB$61</definedName>
    <definedName name="ETC1UnitPriceYen" localSheetId="10">#REF!</definedName>
    <definedName name="ETC1UnitPriceYen">外注付託依頼書!$AB$60</definedName>
    <definedName name="ETC2ForeignRate" localSheetId="10">#REF!</definedName>
    <definedName name="ETC2ForeignRate">外注付託依頼書!$AB$67</definedName>
    <definedName name="ETC2UnitPriceForeign" localSheetId="10">#REF!</definedName>
    <definedName name="ETC2UnitPriceForeign">外注付託依頼書!$AB$66</definedName>
    <definedName name="ETC2UnitPriceYen" localSheetId="10">#REF!</definedName>
    <definedName name="ETC2UnitPriceYen">外注付託依頼書!$AB$65</definedName>
    <definedName name="ETC3ForeignRate" localSheetId="10">#REF!</definedName>
    <definedName name="ETC3ForeignRate">外注付託依頼書!$AB$72</definedName>
    <definedName name="ETC3UnitPriceForeign" localSheetId="10">#REF!</definedName>
    <definedName name="ETC3UnitPriceForeign">外注付託依頼書!$AB$71</definedName>
    <definedName name="ETC3UnitPriceYen" localSheetId="10">#REF!</definedName>
    <definedName name="ETC3UnitPriceYen">外注付託依頼書!$AB$70</definedName>
    <definedName name="FRNTotal1">外注付託依頼書!$AH$28</definedName>
    <definedName name="FRNTotal2">外注付託依頼書!$AH$36</definedName>
    <definedName name="FRNTotal3">外注付託依頼書!$AH$44</definedName>
    <definedName name="FRNTotal4">外注付託依頼書!$AH$61</definedName>
    <definedName name="FRNTotal5">外注付託依頼書!$AH$66</definedName>
    <definedName name="FRNTotal6">外注付託依頼書!$AH$71</definedName>
    <definedName name="LST支払条件" localSheetId="3">外注付託依頼書!$CE$21:$CE$46</definedName>
    <definedName name="M_CC" localSheetId="10">期間変更依頼!$H$147</definedName>
    <definedName name="M_CC">外注付託依頼書!$I$123</definedName>
    <definedName name="M_CC2">外注付託依頼書!$M$123</definedName>
    <definedName name="M_CC3">外注付託依頼書!$R$123</definedName>
    <definedName name="M_CC4">外注付託依頼書!$V$123</definedName>
    <definedName name="M_head1" localSheetId="10">期間変更依頼!$H$150</definedName>
    <definedName name="M_head1">外注付託依頼書!$I$126</definedName>
    <definedName name="M_head2" localSheetId="10">期間変更依頼!$H$151</definedName>
    <definedName name="M_head2">外注付託依頼書!$I$127</definedName>
    <definedName name="M_head3" localSheetId="10">期間変更依頼!$H$152</definedName>
    <definedName name="M_head3">外注付託依頼書!$I$128</definedName>
    <definedName name="M_head4" localSheetId="10">期間変更依頼!$H$153</definedName>
    <definedName name="M_head4">外注付託依頼書!$I$129</definedName>
    <definedName name="M_head5" localSheetId="10">期間変更依頼!$H$154</definedName>
    <definedName name="M_head5">外注付託依頼書!$I$130</definedName>
    <definedName name="M_head6" localSheetId="10">期間変更依頼!$H$155</definedName>
    <definedName name="M_head6">外注付託依頼書!$I$131</definedName>
    <definedName name="M_head7" localSheetId="10">期間変更依頼!$H$156</definedName>
    <definedName name="M_head7">外注付託依頼書!$I$132</definedName>
    <definedName name="M_Sentence" localSheetId="10">期間変更依頼!$H$149</definedName>
    <definedName name="M_Sentence">外注付託依頼書!$I$125</definedName>
    <definedName name="MMEND1">期間変更依頼!$R$115</definedName>
    <definedName name="MMEND2">期間変更依頼!$AN$115</definedName>
    <definedName name="MMSTART1">期間変更依頼!$R$98</definedName>
    <definedName name="MMSTART2">期間変更依頼!$AN$98</definedName>
    <definedName name="M宛先" localSheetId="10">期間変更依頼!$H$145</definedName>
    <definedName name="M宛先">外注付託依頼書!$I$121</definedName>
    <definedName name="M依頼額" localSheetId="10">期間変更依頼!$P$153</definedName>
    <definedName name="M依頼額">外注付託依頼書!$M$129</definedName>
    <definedName name="M依頼番号" localSheetId="10">期間変更依頼!$P$150</definedName>
    <definedName name="M依頼番号">外注付託依頼書!$M$126</definedName>
    <definedName name="M改め発注額" localSheetId="10">期間変更依頼!$P$155</definedName>
    <definedName name="M改め発注額">外注付託依頼書!$M$131</definedName>
    <definedName name="M件名" localSheetId="10">期間変更依頼!$H$146</definedName>
    <definedName name="M件名">外注付託依頼書!$I$122</definedName>
    <definedName name="M差出人" localSheetId="10">期間変更依頼!$H$148</definedName>
    <definedName name="M差出人">外注付託依頼書!$I$124</definedName>
    <definedName name="M作業科目" localSheetId="10">期間変更依頼!$P$152</definedName>
    <definedName name="M作業科目">外注付託依頼書!$M$128</definedName>
    <definedName name="M作業件名" localSheetId="10">期間変更依頼!$P$151</definedName>
    <definedName name="M作業件名">外注付託依頼書!$M$127</definedName>
    <definedName name="M仕入先名" localSheetId="10">期間変更依頼!$P$156</definedName>
    <definedName name="M仕入先名">外注付託依頼書!$M$132</definedName>
    <definedName name="M本体額" localSheetId="10">期間変更依頼!$P$154</definedName>
    <definedName name="M本体額">外注付託依頼書!$M$130</definedName>
    <definedName name="M本文" localSheetId="10">期間変更依頼!$H$157</definedName>
    <definedName name="M本文">外注付託依頼書!$I$133</definedName>
    <definedName name="OriginalContractDay" localSheetId="10">#REF!</definedName>
    <definedName name="OriginalContractDay">外注付託依頼書!$L$23</definedName>
    <definedName name="OVSEADAYEND1">期間変更依頼!$W$115</definedName>
    <definedName name="OVSEADAYEND2">期間変更依頼!$AS$115</definedName>
    <definedName name="OVSEADAYSTART1">期間変更依頼!$W$98</definedName>
    <definedName name="OVSEADAYSTART2">期間変更依頼!$AS$98</definedName>
    <definedName name="_xlnm.Print_Area" localSheetId="8">_請求書!$A$1:$AR$61</definedName>
    <definedName name="_xlnm.Print_Area" localSheetId="5">_請書!$A$1:$AS$62</definedName>
    <definedName name="_xlnm.Print_Area" localSheetId="7">'_請書 （変更）'!$A$1:$AS$62</definedName>
    <definedName name="_xlnm.Print_Area" localSheetId="4">_注文書!$A$1:$AS$62</definedName>
    <definedName name="_xlnm.Print_Area" localSheetId="6">'_注文書 （変更）'!$A$1:$AS$62</definedName>
    <definedName name="_xlnm.Print_Area" localSheetId="2">TOR!$C$1:$L$42</definedName>
    <definedName name="_xlnm.Print_Area" localSheetId="3">外注付託依頼書!$C$2:$AI$87</definedName>
    <definedName name="_xlnm.Print_Area" localSheetId="10">期間変更依頼!$B$1:$AS$117</definedName>
    <definedName name="_xlnm.Print_Area" localSheetId="0">算出表!$B$2:$K$97</definedName>
    <definedName name="_xlnm.Print_Area" localSheetId="11">算出表用テーブル!$B$1:$H$112</definedName>
    <definedName name="_xlnm.Print_Area" localSheetId="1">算定書!$A$2:$K$122</definedName>
    <definedName name="Rate1">期間変更依頼!$H$34</definedName>
    <definedName name="Rate2">期間変更依頼!$H$43</definedName>
    <definedName name="Rate3">期間変更依頼!$H$51</definedName>
    <definedName name="Rate4">期間変更依頼!$H$68</definedName>
    <definedName name="Rate5">期間変更依頼!$H$73</definedName>
    <definedName name="Rate6">期間変更依頼!$H$78</definedName>
    <definedName name="SourceFunds" localSheetId="10">#REF!</definedName>
    <definedName name="SourceFunds">外注付託依頼書!$L$24</definedName>
    <definedName name="StayForeignRate" localSheetId="10">#REF!</definedName>
    <definedName name="StayForeignRate">外注付託依頼書!$AB$45</definedName>
    <definedName name="StayUnitPriceForeign" localSheetId="10">#REF!</definedName>
    <definedName name="StayUnitPriceForeign">外注付託依頼書!$AB$44</definedName>
    <definedName name="StayUnitPriceYen" localSheetId="10">#REF!</definedName>
    <definedName name="StayUnitPriceYen">外注付託依頼書!$AB$43</definedName>
    <definedName name="TemplateCount">外注付託依頼書!$C$9</definedName>
    <definedName name="TemplateFlag">外注付託依頼書!$C$8</definedName>
    <definedName name="WorkContents" localSheetId="10">#REF!</definedName>
    <definedName name="WorkContents">外注付託依頼書!$G$27</definedName>
    <definedName name="WORKDAYEND1">期間変更依頼!$U$115</definedName>
    <definedName name="WORKDAYEND2">期間変更依頼!$AQ$115</definedName>
    <definedName name="WORKDAYSTART1">期間変更依頼!$U$98</definedName>
    <definedName name="WORKDAYSTART2">期間変更依頼!$AQ$98</definedName>
    <definedName name="WorkSubjectCode" localSheetId="10">#REF!</definedName>
    <definedName name="WorkSubjectCode">外注付託依頼書!$U$23</definedName>
    <definedName name="WorkSubjectNameE" localSheetId="10">#REF!</definedName>
    <definedName name="WorkSubjectNameE">外注付託依頼書!$L$22</definedName>
    <definedName name="WorkSubjectNameJ" localSheetId="10">#REF!</definedName>
    <definedName name="WorkSubjectNameJ">外注付託依頼書!$L$21</definedName>
    <definedName name="あ">外注付託依頼書!$AD$111</definedName>
    <definedName name="い">外注付託依頼書!$AD$111</definedName>
    <definedName name="その他1工数" localSheetId="10">期間変更依頼!$X$67</definedName>
    <definedName name="その他1工数単位" localSheetId="10">期間変更依頼!$Z$67</definedName>
    <definedName name="その他1単価" localSheetId="10">期間変更依頼!$O$67</definedName>
    <definedName name="その他2工数" localSheetId="10">期間変更依頼!$X$72</definedName>
    <definedName name="その他2工数単位" localSheetId="10">期間変更依頼!$Z$72</definedName>
    <definedName name="その他2単価" localSheetId="10">期間変更依頼!$O$72</definedName>
    <definedName name="その他3工数" localSheetId="10">期間変更依頼!$X$77</definedName>
    <definedName name="その他3工数単位" localSheetId="10">期間変更依頼!$Z$77</definedName>
    <definedName name="その他3単価" localSheetId="10">期間変更依頼!$O$77</definedName>
    <definedName name="その他経費">外注付託依頼書!#REF!</definedName>
    <definedName name="その他経費名1">外注付託依頼書!$Z$59</definedName>
    <definedName name="その他経費名2">外注付託依頼書!$Z$64</definedName>
    <definedName name="その他経費名3">外注付託依頼書!$Z$69</definedName>
    <definedName name="ルート">外注付託依頼書!$AC$50</definedName>
    <definedName name="依頼額">外注付託依頼書!#REF!</definedName>
    <definedName name="依頼所属Code">外注付託依頼書!$AG$13</definedName>
    <definedName name="依頼所属名">外注付託依頼書!$AG$14</definedName>
    <definedName name="依頼担当者Code" localSheetId="10">期間変更依頼!$AK$9</definedName>
    <definedName name="依頼担当者Code">外注付託依頼書!$AG$11</definedName>
    <definedName name="依頼担当者名" localSheetId="3">外注付託依頼書!$AG$12</definedName>
    <definedName name="依頼年月日">外注付託依頼書!#REF!</definedName>
    <definedName name="依頼番号" localSheetId="3">外注付託依頼書!$AG$3</definedName>
    <definedName name="依頼番号" localSheetId="10">期間変更依頼!$AL$1</definedName>
    <definedName name="依頼番号">外注付託依頼書!$AG$3</definedName>
    <definedName name="稼働日1">外注付託依頼書!$U$42</definedName>
    <definedName name="稼働日10">外注付託依頼書!$U$51</definedName>
    <definedName name="稼働日11">外注付託依頼書!$U$52</definedName>
    <definedName name="稼働日12">外注付託依頼書!$U$53</definedName>
    <definedName name="稼働日13">外注付託依頼書!$U$54</definedName>
    <definedName name="稼働日14">外注付託依頼書!$U$55</definedName>
    <definedName name="稼働日15">外注付託依頼書!$U$56</definedName>
    <definedName name="稼働日16">外注付託依頼書!$U$57</definedName>
    <definedName name="稼働日2">外注付託依頼書!$U$43</definedName>
    <definedName name="稼働日3">外注付託依頼書!$U$44</definedName>
    <definedName name="稼働日4">外注付託依頼書!$U$45</definedName>
    <definedName name="稼働日5">外注付託依頼書!$U$46</definedName>
    <definedName name="稼働日6">外注付託依頼書!$U$47</definedName>
    <definedName name="稼働日7">外注付託依頼書!$U$48</definedName>
    <definedName name="稼働日8">外注付託依頼書!$U$49</definedName>
    <definedName name="稼働日9">外注付託依頼書!$U$50</definedName>
    <definedName name="会社Code">外注付託依頼書!$AQ$41</definedName>
    <definedName name="改め発注金額">外注付託依頼書!$AE$78</definedName>
    <definedName name="海外旅行傷害保険単価" localSheetId="10">期間変更依頼!#REF!</definedName>
    <definedName name="外注購買番号">外注付託依頼書!$AF$3</definedName>
    <definedName name="外注費">外注付託依頼書!#REF!</definedName>
    <definedName name="勘定Code1">外注付託依頼書!$Y$25</definedName>
    <definedName name="勘定Code2">外注付託依頼書!$Y$31</definedName>
    <definedName name="勘定Code3">外注付託依頼書!$Y$39</definedName>
    <definedName name="勘定Code4">外注付託依頼書!$Y$47</definedName>
    <definedName name="勘定Code5">外注付託依頼書!$Y$54</definedName>
    <definedName name="勘定Code6">外注付託依頼書!$Y$60</definedName>
    <definedName name="勘定Code7">外注付託依頼書!$Y$65</definedName>
    <definedName name="勘定Code8">外注付託依頼書!$Y$70</definedName>
    <definedName name="換算基準金額1">外注付託依頼書!$AB$29</definedName>
    <definedName name="居住区分">外注付託依頼書!$AG$81</definedName>
    <definedName name="契約交渉条件">外注付託依頼書!$AB$24</definedName>
    <definedName name="決裁区分" localSheetId="10">期間変更依頼!$B$2</definedName>
    <definedName name="決裁区分">外注付託依頼書!$C$3</definedName>
    <definedName name="決裁日" localSheetId="10">期間変更依頼!$AL$5</definedName>
    <definedName name="決裁日">外注付託依頼書!$AG$8</definedName>
    <definedName name="決裁年月日">外注付託依頼書!$AG$8</definedName>
    <definedName name="件名">外注付託依頼書!$F$18</definedName>
    <definedName name="見積り額">外注付託依頼書!#REF!</definedName>
    <definedName name="見積額" localSheetId="10">期間変更依頼!$H$134</definedName>
    <definedName name="見積額">外注付託依頼書!$I$112</definedName>
    <definedName name="源泉徴収フラグ" localSheetId="10">期間変更依頼!$H$124</definedName>
    <definedName name="源泉徴収フラグ">外注付託依頼書!$I$102</definedName>
    <definedName name="工数1" localSheetId="10">期間変更依頼!$X$33</definedName>
    <definedName name="工数1">外注付託依頼書!$AD$28</definedName>
    <definedName name="工数2" localSheetId="10">期間変更依頼!$X$42</definedName>
    <definedName name="工数2">外注付託依頼書!$AD$36</definedName>
    <definedName name="工数3" localSheetId="10">期間変更依頼!$X$50</definedName>
    <definedName name="工数3">外注付託依頼書!$AD$44</definedName>
    <definedName name="工数4">外注付託依頼書!$AD$61</definedName>
    <definedName name="工数5">外注付託依頼書!$AD$66</definedName>
    <definedName name="工数6">外注付託依頼書!$AD$71</definedName>
    <definedName name="工数単位1" localSheetId="10">期間変更依頼!$Z$33</definedName>
    <definedName name="工数単位1">外注付託依頼書!$AE$28</definedName>
    <definedName name="工数単位2" localSheetId="10">期間変更依頼!$Z$42</definedName>
    <definedName name="工数単位2">外注付託依頼書!$AE$36</definedName>
    <definedName name="工数単位3" localSheetId="10">期間変更依頼!$Z$50</definedName>
    <definedName name="工数単位3">外注付託依頼書!$AE$44</definedName>
    <definedName name="工数単位4">外注付託依頼書!$AE$61</definedName>
    <definedName name="工数単位5">外注付託依頼書!$AE$66</definedName>
    <definedName name="工数単位6">外注付託依頼書!$AE$71</definedName>
    <definedName name="更新回数" localSheetId="10">期間変更依頼!$BB$129</definedName>
    <definedName name="更新回数">外注付託依頼書!$AQ$114</definedName>
    <definedName name="航空券支給クラス">外注付託依頼書!$AB$49</definedName>
    <definedName name="航空券単価" localSheetId="10">期間変更依頼!#REF!</definedName>
    <definedName name="国籍">外注付託依頼書!$G$31</definedName>
    <definedName name="今回発注">外注付託依頼書!#REF!</definedName>
    <definedName name="作業Code">外注付託依頼書!$D$14</definedName>
    <definedName name="作業科目">外注付託依頼書!$F$17</definedName>
    <definedName name="作業期間至1" localSheetId="10">期間変更依頼!$AH$98</definedName>
    <definedName name="作業期間至1">外注付託依頼書!$L$42</definedName>
    <definedName name="作業期間至10">外注付託依頼書!$L$51</definedName>
    <definedName name="作業期間至11">外注付託依頼書!$L$52</definedName>
    <definedName name="作業期間至12">外注付託依頼書!$L$53</definedName>
    <definedName name="作業期間至13">外注付託依頼書!$L$54</definedName>
    <definedName name="作業期間至14">外注付託依頼書!$L$55</definedName>
    <definedName name="作業期間至15">外注付託依頼書!$L$56</definedName>
    <definedName name="作業期間至16">外注付託依頼書!$L$57</definedName>
    <definedName name="作業期間至2">外注付託依頼書!$L$43</definedName>
    <definedName name="作業期間至3">外注付託依頼書!$L$44</definedName>
    <definedName name="作業期間至4">外注付託依頼書!$L$45</definedName>
    <definedName name="作業期間至5">外注付託依頼書!$L$46</definedName>
    <definedName name="作業期間至6">外注付託依頼書!$L$47</definedName>
    <definedName name="作業期間至7">外注付託依頼書!$L$48</definedName>
    <definedName name="作業期間至8">外注付託依頼書!$L$49</definedName>
    <definedName name="作業期間至9">外注付託依頼書!$L$50</definedName>
    <definedName name="作業期間自1">外注付託依頼書!$F$42</definedName>
    <definedName name="作業期間自10">外注付託依頼書!$F$51</definedName>
    <definedName name="作業期間自11">外注付託依頼書!$F$52</definedName>
    <definedName name="作業期間自12">外注付託依頼書!$F$53</definedName>
    <definedName name="作業期間自13">外注付託依頼書!$F$54</definedName>
    <definedName name="作業期間自14">外注付託依頼書!$F$55</definedName>
    <definedName name="作業期間自15">外注付託依頼書!$F$56</definedName>
    <definedName name="作業期間自16">外注付託依頼書!$F$57</definedName>
    <definedName name="作業期間自2">外注付託依頼書!$F$43</definedName>
    <definedName name="作業期間自3">外注付託依頼書!$F$44</definedName>
    <definedName name="作業期間自4">外注付託依頼書!$F$45</definedName>
    <definedName name="作業期間自5">外注付託依頼書!$F$46</definedName>
    <definedName name="作業期間自6">外注付託依頼書!$F$47</definedName>
    <definedName name="作業期間自7">外注付託依頼書!$F$48</definedName>
    <definedName name="作業期間自8">外注付託依頼書!$F$49</definedName>
    <definedName name="作業期間自9">外注付託依頼書!$F$50</definedName>
    <definedName name="作業件名" localSheetId="10">期間変更依頼!$D$22</definedName>
    <definedName name="作業場所">外注付託依頼書!$D$42</definedName>
    <definedName name="作業場所1">外注付託依頼書!$D$42</definedName>
    <definedName name="作業場所10">外注付託依頼書!$D$51</definedName>
    <definedName name="作業場所11">外注付託依頼書!$D$52</definedName>
    <definedName name="作業場所12">外注付託依頼書!$D$53</definedName>
    <definedName name="作業場所13">外注付託依頼書!$D$54</definedName>
    <definedName name="作業場所14">外注付託依頼書!$D$55</definedName>
    <definedName name="作業場所15">外注付託依頼書!$D$56</definedName>
    <definedName name="作業場所16">外注付託依頼書!$D$57</definedName>
    <definedName name="作業場所2">外注付託依頼書!$D$43</definedName>
    <definedName name="作業場所3">外注付託依頼書!$D$44</definedName>
    <definedName name="作業場所4">外注付託依頼書!$D$45</definedName>
    <definedName name="作業場所5">外注付託依頼書!$D$46</definedName>
    <definedName name="作業場所6">外注付託依頼書!$D$47</definedName>
    <definedName name="作業場所7">外注付託依頼書!$D$48</definedName>
    <definedName name="作業場所8">外注付託依頼書!$D$49</definedName>
    <definedName name="作業場所9">外注付託依頼書!$D$50</definedName>
    <definedName name="作成日" localSheetId="3">外注付託依頼書!$AG$6</definedName>
    <definedName name="作成日" localSheetId="10">期間変更依頼!$AL$3</definedName>
    <definedName name="仕入先名">外注付託依頼書!$N$16</definedName>
    <definedName name="仕入先名称">外注付託依頼書!$D$16</definedName>
    <definedName name="支給区分1">外注付託依頼書!$AC$31</definedName>
    <definedName name="支給区分2">外注付託依頼書!$AC$39</definedName>
    <definedName name="支給区分3">外注付託依頼書!$AA$47</definedName>
    <definedName name="支給区分4">外注付託依頼書!$AF$59</definedName>
    <definedName name="支給区分5">外注付託依頼書!$AF$64</definedName>
    <definedName name="支給区分6">外注付託依頼書!$AF$69</definedName>
    <definedName name="支給方法1">外注付託依頼書!$AC$32</definedName>
    <definedName name="支給方法2">外注付託依頼書!$AC$40</definedName>
    <definedName name="支給方法3">外注付託依頼書!$AC$59</definedName>
    <definedName name="支給方法4">外注付託依頼書!$AC$64</definedName>
    <definedName name="支給方法5">外注付託依頼書!$AC$69</definedName>
    <definedName name="支払条件" localSheetId="10">期間変更依頼!$H$122</definedName>
    <definedName name="支払条件">外注付託依頼書!$I$100</definedName>
    <definedName name="支払先1">外注付託依頼書!$AC$33</definedName>
    <definedName name="支払先2">外注付託依頼書!$AC$41</definedName>
    <definedName name="事業領域" localSheetId="10">期間変更依頼!$H$121</definedName>
    <definedName name="事業領域">外注付託依頼書!$I$99</definedName>
    <definedName name="受注BR">外注付託依頼書!$AG$20</definedName>
    <definedName name="受注金額">外注付託依頼書!#REF!</definedName>
    <definedName name="受付日" localSheetId="3">外注付託依頼書!$AG$7</definedName>
    <definedName name="受付日" localSheetId="10">期間変更依頼!$AL$4</definedName>
    <definedName name="受付日">外注付託依頼書!$AG$7</definedName>
    <definedName name="従業員区分">外注付託依頼書!$AG$80</definedName>
    <definedName name="出来高区分" localSheetId="10">期間変更依頼!$H$123</definedName>
    <definedName name="出来高区分">外注付託依頼書!$I$101</definedName>
    <definedName name="所得税説明書送付フラグ">外注付託依頼書!#REF!</definedName>
    <definedName name="書類送付状発行フラグ">外注付託依頼書!#REF!</definedName>
    <definedName name="書類送付発行フラグ">外注付託依頼書!#REF!</definedName>
    <definedName name="消費税額" localSheetId="3">外注付託依頼書!$AE$77</definedName>
    <definedName name="消費税額" localSheetId="10">期間変更依頼!$AB$81</definedName>
    <definedName name="消費税率" localSheetId="10">期間変更依頼!$BC$127</definedName>
    <definedName name="消費税率">外注付託依頼書!$AR$112</definedName>
    <definedName name="消費税率combobox" localSheetId="10">期間変更依頼!$AP$81</definedName>
    <definedName name="消費税率combobox">外注付託依頼書!$AB$77</definedName>
    <definedName name="消費税率List" localSheetId="3">外注付託依頼書!$AR$112:$AS$114</definedName>
    <definedName name="人件費">外注付託依頼書!#REF!</definedName>
    <definedName name="生年月日">外注付託依頼書!#REF!</definedName>
    <definedName name="請求書発行フラグ" localSheetId="10">期間変更依頼!$H$128</definedName>
    <definedName name="請求書発行フラグ">外注付託依頼書!$I$106</definedName>
    <definedName name="請書発行フラグ" localSheetId="10">期間変更依頼!$H$127</definedName>
    <definedName name="請書発行フラグ">外注付託依頼書!$I$105</definedName>
    <definedName name="単価1" localSheetId="10">期間変更依頼!$O$33</definedName>
    <definedName name="単価1">外注付託依頼書!$AB$28</definedName>
    <definedName name="単価2" localSheetId="10">期間変更依頼!$O$42</definedName>
    <definedName name="単価2">外注付託依頼書!#REF!</definedName>
    <definedName name="単価3" localSheetId="10">期間変更依頼!$O$50</definedName>
    <definedName name="単価4" localSheetId="10">期間変更依頼!$O$63</definedName>
    <definedName name="担当業務">外注付託依頼書!$G$34</definedName>
    <definedName name="担当社員Code">外注付託依頼書!$V$20</definedName>
    <definedName name="注文書発行フラグ" localSheetId="10">期間変更依頼!$H$126</definedName>
    <definedName name="注文書発行フラグ">外注付託依頼書!$I$104</definedName>
    <definedName name="通貨区分1" localSheetId="10">期間変更依頼!$H$33</definedName>
    <definedName name="通貨区分1">外注付託依頼書!$AA$28</definedName>
    <definedName name="通貨区分2" localSheetId="10">期間変更依頼!$H$42</definedName>
    <definedName name="通貨区分2">外注付託依頼書!$AA$36</definedName>
    <definedName name="通貨区分3" localSheetId="10">期間変更依頼!$H$50</definedName>
    <definedName name="通貨区分3">外注付託依頼書!$AA$44</definedName>
    <definedName name="通貨区分4" localSheetId="10">期間変更依頼!$H$67</definedName>
    <definedName name="通貨区分4">外注付託依頼書!$AA$61</definedName>
    <definedName name="通貨区分5" localSheetId="10">期間変更依頼!$H$72</definedName>
    <definedName name="通貨区分5">外注付託依頼書!$AA$66</definedName>
    <definedName name="通貨区分6" localSheetId="10">期間変更依頼!$H$77</definedName>
    <definedName name="通貨区分6">外注付託依頼書!$AA$71</definedName>
    <definedName name="摘要" localSheetId="10">期間変更依頼!$H$130</definedName>
    <definedName name="摘要">外注付託依頼書!$I$108</definedName>
    <definedName name="特記">外注付託依頼書!$AC$51</definedName>
    <definedName name="納品書発行フラグ" localSheetId="10">期間変更依頼!$H$129</definedName>
    <definedName name="納品書発行フラグ">外注付託依頼書!$I$107</definedName>
    <definedName name="発注BR">外注付託依頼書!$AG$21</definedName>
    <definedName name="発注金額">外注付託依頼書!#REF!</definedName>
    <definedName name="発注状況" localSheetId="10">期間変更依頼!$BB$130</definedName>
    <definedName name="発注状況">外注付託依頼書!$AQ$115</definedName>
    <definedName name="発注対象年月">外注付託依頼書!#REF!</definedName>
    <definedName name="発注担当者Code" localSheetId="10">期間変更依頼!$H$125</definedName>
    <definedName name="発注担当者Code">外注付託依頼書!$I$103</definedName>
    <definedName name="発注年月日" localSheetId="10">期間変更依頼!$H$120</definedName>
    <definedName name="発注年月日">外注付託依頼書!$I$98</definedName>
    <definedName name="発注率">外注付託依頼書!$AG$22</definedName>
    <definedName name="備考1">外注付託依頼書!$AB$25</definedName>
    <definedName name="備考2">外注付託依頼書!$AC$34</definedName>
    <definedName name="備考3">外注付託依頼書!$AC$42</definedName>
    <definedName name="備考4">外注付託依頼書!$AB$48</definedName>
    <definedName name="変更合計">期間変更依頼!$AB$82</definedName>
    <definedName name="本体額" localSheetId="3">外注付託依頼書!$AE$75</definedName>
    <definedName name="本体額" localSheetId="10">期間変更依頼!$AB$80</definedName>
    <definedName name="予算措置">外注付託依頼書!$N$25</definedName>
    <definedName name="旅行傷害保険">外注付託依頼書!$AA$55</definedName>
    <definedName name="稟議依頼日" localSheetId="10">期間変更依頼!#REF!</definedName>
  </definedNames>
  <calcPr calcId="125725"/>
</workbook>
</file>

<file path=xl/calcChain.xml><?xml version="1.0" encoding="utf-8"?>
<calcChain xmlns="http://schemas.openxmlformats.org/spreadsheetml/2006/main">
  <c r="AG22" i="12"/>
  <c r="AH71"/>
  <c r="AH66"/>
  <c r="AH61"/>
  <c r="AH44"/>
  <c r="AH36"/>
  <c r="AH28"/>
  <c r="H23" i="22"/>
  <c r="H23" i="21"/>
  <c r="H23" i="20"/>
  <c r="H23" i="19"/>
  <c r="A19" i="22"/>
  <c r="A19" i="21"/>
  <c r="A19" i="20"/>
  <c r="A19" i="19"/>
  <c r="L19"/>
  <c r="A9" i="24"/>
  <c r="J10" i="15"/>
  <c r="J9"/>
  <c r="J8"/>
  <c r="A18" i="24"/>
  <c r="A12" i="22"/>
  <c r="AG12" i="21"/>
  <c r="A12" i="20"/>
  <c r="AE12" i="19"/>
  <c r="K10" i="15"/>
  <c r="A5" i="23"/>
  <c r="AE14" i="24"/>
  <c r="AE13"/>
  <c r="AB12"/>
  <c r="AB11"/>
  <c r="AB10"/>
  <c r="AB9"/>
  <c r="A11" i="22"/>
  <c r="A10"/>
  <c r="A9"/>
  <c r="A8"/>
  <c r="AG11" i="21"/>
  <c r="AG10"/>
  <c r="AG9"/>
  <c r="AG8"/>
  <c r="A11" i="20"/>
  <c r="A10"/>
  <c r="A9"/>
  <c r="A8"/>
  <c r="AE11" i="19"/>
  <c r="AE10"/>
  <c r="AE9"/>
  <c r="AE8"/>
  <c r="O42" i="18"/>
  <c r="AD42" s="1"/>
  <c r="O33"/>
  <c r="AD33" s="1"/>
  <c r="T24" i="23"/>
  <c r="B20" i="22"/>
  <c r="B20" i="21"/>
  <c r="B20" i="20"/>
  <c r="B20" i="19"/>
  <c r="O50" i="18"/>
  <c r="AD50" s="1"/>
  <c r="O67"/>
  <c r="AD67" s="1"/>
  <c r="O72"/>
  <c r="AD72" s="1"/>
  <c r="O77"/>
  <c r="AD77" s="1"/>
  <c r="D65"/>
  <c r="H42" i="21" s="1"/>
  <c r="D70" i="18"/>
  <c r="H43" i="21" s="1"/>
  <c r="D75" i="18"/>
  <c r="H44" i="21" s="1"/>
  <c r="B76" i="18"/>
  <c r="B71"/>
  <c r="B65"/>
  <c r="B60"/>
  <c r="B53"/>
  <c r="B44"/>
  <c r="B36"/>
  <c r="B31"/>
  <c r="R47" i="12"/>
  <c r="AG32" i="19" s="1"/>
  <c r="H157" i="18"/>
  <c r="AS117"/>
  <c r="I133" i="12"/>
  <c r="AB75" i="18"/>
  <c r="AB70"/>
  <c r="AB65"/>
  <c r="I4" i="7"/>
  <c r="I12" s="1"/>
  <c r="J12" s="1"/>
  <c r="I18"/>
  <c r="I28" s="1"/>
  <c r="I37"/>
  <c r="I39" s="1"/>
  <c r="I45"/>
  <c r="I49" s="1"/>
  <c r="H44" i="1"/>
  <c r="I70" i="7"/>
  <c r="I76" s="1"/>
  <c r="I78"/>
  <c r="I79" s="1"/>
  <c r="I87"/>
  <c r="I88" s="1"/>
  <c r="C15" i="15"/>
  <c r="C5"/>
  <c r="D15" i="2"/>
  <c r="G8"/>
  <c r="D13"/>
  <c r="E5" i="1"/>
  <c r="D18" i="2" s="1"/>
  <c r="E6" i="1"/>
  <c r="D21" i="2" s="1"/>
  <c r="U42" i="12"/>
  <c r="R42" s="1"/>
  <c r="U43"/>
  <c r="R43" s="1"/>
  <c r="AG28" i="19" s="1"/>
  <c r="U44" i="12"/>
  <c r="W44" s="1"/>
  <c r="U45"/>
  <c r="R45" s="1"/>
  <c r="AG30" i="20" s="1"/>
  <c r="U46" i="12"/>
  <c r="R46" s="1"/>
  <c r="U47"/>
  <c r="U48"/>
  <c r="U49"/>
  <c r="U50"/>
  <c r="U51"/>
  <c r="U52"/>
  <c r="U53"/>
  <c r="U54"/>
  <c r="U55"/>
  <c r="U56"/>
  <c r="U57"/>
  <c r="AL1" i="18"/>
  <c r="AG62" i="21" s="1"/>
  <c r="P152" i="18"/>
  <c r="P151"/>
  <c r="P156"/>
  <c r="AA40" i="20"/>
  <c r="AA39"/>
  <c r="AA40" i="19"/>
  <c r="AA39"/>
  <c r="AG44" i="12"/>
  <c r="AD40" i="20"/>
  <c r="AD39"/>
  <c r="X39"/>
  <c r="X40"/>
  <c r="N40"/>
  <c r="N39"/>
  <c r="AD40" i="19"/>
  <c r="AD39"/>
  <c r="X40"/>
  <c r="X39"/>
  <c r="N40"/>
  <c r="N39"/>
  <c r="AD38" i="20"/>
  <c r="AD42"/>
  <c r="AD43"/>
  <c r="AD44"/>
  <c r="AD38" i="19"/>
  <c r="AD42"/>
  <c r="AD43"/>
  <c r="AD44"/>
  <c r="H44" i="20"/>
  <c r="H43"/>
  <c r="H42"/>
  <c r="H44" i="19"/>
  <c r="H43"/>
  <c r="H42"/>
  <c r="G47" i="21"/>
  <c r="G47" i="22"/>
  <c r="G47" i="20"/>
  <c r="G47" i="19"/>
  <c r="AG28" i="12"/>
  <c r="I56" i="7"/>
  <c r="I57" s="1"/>
  <c r="AF4" i="19"/>
  <c r="AF3" i="24" s="1"/>
  <c r="A6"/>
  <c r="A7"/>
  <c r="A8"/>
  <c r="M9"/>
  <c r="B10"/>
  <c r="AF13" i="23"/>
  <c r="F21"/>
  <c r="AI21"/>
  <c r="F22"/>
  <c r="H24"/>
  <c r="F61"/>
  <c r="Q61"/>
  <c r="AA61"/>
  <c r="AE61"/>
  <c r="AJ61"/>
  <c r="AF4" i="22"/>
  <c r="AG10"/>
  <c r="AF13"/>
  <c r="L19"/>
  <c r="F21"/>
  <c r="B22"/>
  <c r="A27"/>
  <c r="G27"/>
  <c r="N27"/>
  <c r="U98" i="18"/>
  <c r="T116"/>
  <c r="W27" i="22"/>
  <c r="AC27"/>
  <c r="AJ27"/>
  <c r="AQ98" i="18"/>
  <c r="AP116"/>
  <c r="A28" i="22"/>
  <c r="G28"/>
  <c r="N28"/>
  <c r="U99" i="18"/>
  <c r="W28" i="22"/>
  <c r="AC28"/>
  <c r="AJ28"/>
  <c r="AQ99" i="18"/>
  <c r="A29" i="22"/>
  <c r="G29"/>
  <c r="N29"/>
  <c r="U100" i="18"/>
  <c r="W29" i="22"/>
  <c r="AC29"/>
  <c r="AJ29"/>
  <c r="AQ100" i="18"/>
  <c r="AN100"/>
  <c r="AP29" i="22" s="1"/>
  <c r="A30"/>
  <c r="G30"/>
  <c r="N30"/>
  <c r="U101" i="18"/>
  <c r="W30" i="22"/>
  <c r="AC30"/>
  <c r="AJ30"/>
  <c r="AQ101" i="18"/>
  <c r="A31" i="22"/>
  <c r="G31"/>
  <c r="N31"/>
  <c r="U102" i="18"/>
  <c r="W31" i="22"/>
  <c r="AC31"/>
  <c r="AJ31"/>
  <c r="AQ102" i="18"/>
  <c r="AN102"/>
  <c r="AP31" i="21" s="1"/>
  <c r="A32" i="22"/>
  <c r="G32"/>
  <c r="N32"/>
  <c r="U103" i="18"/>
  <c r="W32" i="22"/>
  <c r="AC32"/>
  <c r="AJ32"/>
  <c r="AQ103" i="18"/>
  <c r="A33" i="22"/>
  <c r="G33"/>
  <c r="N33"/>
  <c r="U104" i="18"/>
  <c r="W33" i="22"/>
  <c r="AC33"/>
  <c r="AJ33"/>
  <c r="AQ104" i="18"/>
  <c r="U105"/>
  <c r="U106"/>
  <c r="R106"/>
  <c r="U107"/>
  <c r="U108"/>
  <c r="U109"/>
  <c r="U110"/>
  <c r="U111"/>
  <c r="R111"/>
  <c r="U112"/>
  <c r="R112"/>
  <c r="U113"/>
  <c r="R113"/>
  <c r="AQ105"/>
  <c r="AN105"/>
  <c r="AQ106"/>
  <c r="AQ107"/>
  <c r="AQ108"/>
  <c r="AQ109"/>
  <c r="AQ110"/>
  <c r="AN110"/>
  <c r="AQ111"/>
  <c r="AN111"/>
  <c r="AQ112"/>
  <c r="AN112"/>
  <c r="AQ113"/>
  <c r="AD38" i="22"/>
  <c r="AD39"/>
  <c r="AD40"/>
  <c r="AD41"/>
  <c r="AD42"/>
  <c r="AD43"/>
  <c r="AD44"/>
  <c r="N38"/>
  <c r="X38"/>
  <c r="AA38"/>
  <c r="N39"/>
  <c r="X39"/>
  <c r="AA39"/>
  <c r="N40"/>
  <c r="X40"/>
  <c r="AA40"/>
  <c r="N42"/>
  <c r="X42"/>
  <c r="AA42"/>
  <c r="N43"/>
  <c r="X43"/>
  <c r="AA43"/>
  <c r="N44"/>
  <c r="X44"/>
  <c r="AA44"/>
  <c r="P58"/>
  <c r="P59"/>
  <c r="C62"/>
  <c r="AF4" i="21"/>
  <c r="A6"/>
  <c r="B7"/>
  <c r="A8"/>
  <c r="C10"/>
  <c r="L19"/>
  <c r="F21"/>
  <c r="B22"/>
  <c r="A27"/>
  <c r="G27"/>
  <c r="N27"/>
  <c r="W27"/>
  <c r="AC27"/>
  <c r="AJ27"/>
  <c r="A28"/>
  <c r="G28"/>
  <c r="N28"/>
  <c r="W28"/>
  <c r="AC28"/>
  <c r="AJ28"/>
  <c r="A29"/>
  <c r="G29"/>
  <c r="N29"/>
  <c r="W29"/>
  <c r="AC29"/>
  <c r="AJ29"/>
  <c r="A30"/>
  <c r="G30"/>
  <c r="N30"/>
  <c r="W30"/>
  <c r="AC30"/>
  <c r="AJ30"/>
  <c r="A31"/>
  <c r="G31"/>
  <c r="N31"/>
  <c r="W31"/>
  <c r="AC31"/>
  <c r="AJ31"/>
  <c r="A32"/>
  <c r="G32"/>
  <c r="N32"/>
  <c r="W32"/>
  <c r="AC32"/>
  <c r="AJ32"/>
  <c r="A33"/>
  <c r="G33"/>
  <c r="N33"/>
  <c r="W33"/>
  <c r="AC33"/>
  <c r="AJ33"/>
  <c r="AD38"/>
  <c r="AD39"/>
  <c r="AD40"/>
  <c r="AD41"/>
  <c r="AD42"/>
  <c r="AD43"/>
  <c r="AD44"/>
  <c r="N38"/>
  <c r="X38"/>
  <c r="AA38"/>
  <c r="N39"/>
  <c r="X39"/>
  <c r="AA39"/>
  <c r="N40"/>
  <c r="X40"/>
  <c r="AA40"/>
  <c r="N42"/>
  <c r="X42"/>
  <c r="AA42"/>
  <c r="N43"/>
  <c r="X43"/>
  <c r="AA43"/>
  <c r="N44"/>
  <c r="X44"/>
  <c r="AA44"/>
  <c r="P58"/>
  <c r="P59"/>
  <c r="C62"/>
  <c r="AF4" i="20"/>
  <c r="AF5"/>
  <c r="AF13"/>
  <c r="C15"/>
  <c r="L19"/>
  <c r="F21"/>
  <c r="B22"/>
  <c r="F27"/>
  <c r="N27"/>
  <c r="X27"/>
  <c r="F28"/>
  <c r="N28"/>
  <c r="X28"/>
  <c r="F29"/>
  <c r="N29"/>
  <c r="X29"/>
  <c r="F30"/>
  <c r="N30"/>
  <c r="X30"/>
  <c r="F31"/>
  <c r="N31"/>
  <c r="X31"/>
  <c r="F32"/>
  <c r="N32"/>
  <c r="X32"/>
  <c r="F33"/>
  <c r="N33"/>
  <c r="X33"/>
  <c r="N38"/>
  <c r="X38"/>
  <c r="AA38"/>
  <c r="N42"/>
  <c r="X42"/>
  <c r="AA42"/>
  <c r="N43"/>
  <c r="X43"/>
  <c r="AA43"/>
  <c r="N44"/>
  <c r="X44"/>
  <c r="AA44"/>
  <c r="P58"/>
  <c r="P59"/>
  <c r="P60"/>
  <c r="C62"/>
  <c r="AG62"/>
  <c r="AF5" i="19"/>
  <c r="A6"/>
  <c r="B7"/>
  <c r="A8"/>
  <c r="C10"/>
  <c r="F21"/>
  <c r="B22"/>
  <c r="F27"/>
  <c r="N27"/>
  <c r="X27"/>
  <c r="F28"/>
  <c r="N28"/>
  <c r="X28"/>
  <c r="F29"/>
  <c r="N29"/>
  <c r="X29"/>
  <c r="F30"/>
  <c r="N30"/>
  <c r="X30"/>
  <c r="F31"/>
  <c r="N31"/>
  <c r="X31"/>
  <c r="F32"/>
  <c r="N32"/>
  <c r="X32"/>
  <c r="F33"/>
  <c r="N33"/>
  <c r="X33"/>
  <c r="N38"/>
  <c r="X38"/>
  <c r="AA38"/>
  <c r="N42"/>
  <c r="X42"/>
  <c r="AA42"/>
  <c r="N43"/>
  <c r="X43"/>
  <c r="AA43"/>
  <c r="N44"/>
  <c r="X44"/>
  <c r="AA44"/>
  <c r="P58"/>
  <c r="P59"/>
  <c r="P60"/>
  <c r="C62"/>
  <c r="AG62"/>
  <c r="W98" i="18"/>
  <c r="V116"/>
  <c r="AS98"/>
  <c r="W99"/>
  <c r="AS99"/>
  <c r="AR116"/>
  <c r="W100"/>
  <c r="AS100"/>
  <c r="W101"/>
  <c r="AS101"/>
  <c r="W102"/>
  <c r="AS102"/>
  <c r="W103"/>
  <c r="AS103"/>
  <c r="W104"/>
  <c r="AS104"/>
  <c r="W105"/>
  <c r="AS105"/>
  <c r="W106"/>
  <c r="AS106"/>
  <c r="W107"/>
  <c r="AS107"/>
  <c r="W108"/>
  <c r="AS108"/>
  <c r="W109"/>
  <c r="AS109"/>
  <c r="W110"/>
  <c r="AS110"/>
  <c r="W111"/>
  <c r="AS111"/>
  <c r="W112"/>
  <c r="AS112"/>
  <c r="W113"/>
  <c r="AS113"/>
  <c r="H145"/>
  <c r="I151"/>
  <c r="I152"/>
  <c r="I156"/>
  <c r="AG36" i="12"/>
  <c r="AG61"/>
  <c r="AG66"/>
  <c r="AG71"/>
  <c r="W43"/>
  <c r="W47"/>
  <c r="W48"/>
  <c r="W49"/>
  <c r="W50"/>
  <c r="W51"/>
  <c r="W52"/>
  <c r="W53"/>
  <c r="W54"/>
  <c r="W55"/>
  <c r="W56"/>
  <c r="W57"/>
  <c r="I121"/>
  <c r="I122"/>
  <c r="M126"/>
  <c r="J127"/>
  <c r="M127"/>
  <c r="J128"/>
  <c r="M128"/>
  <c r="J132"/>
  <c r="M132"/>
  <c r="H25" i="2"/>
  <c r="I25"/>
  <c r="H27"/>
  <c r="I27"/>
  <c r="H29"/>
  <c r="I29"/>
  <c r="E36"/>
  <c r="E20" i="15"/>
  <c r="I21" i="7"/>
  <c r="I47"/>
  <c r="I25"/>
  <c r="I26"/>
  <c r="I63"/>
  <c r="I62"/>
  <c r="R108" i="18"/>
  <c r="AN108"/>
  <c r="AN109"/>
  <c r="AN101"/>
  <c r="AP30" i="22" s="1"/>
  <c r="R104" i="18"/>
  <c r="T33" i="21" s="1"/>
  <c r="R101" i="18"/>
  <c r="T30" i="21" s="1"/>
  <c r="R98" i="18"/>
  <c r="T27" i="22" s="1"/>
  <c r="AN104" i="18"/>
  <c r="AP33" i="22" s="1"/>
  <c r="AN107" i="18"/>
  <c r="R51" i="12"/>
  <c r="R57"/>
  <c r="R105" i="18"/>
  <c r="R49" i="12"/>
  <c r="R100" i="18"/>
  <c r="T29" i="22" s="1"/>
  <c r="AN99" i="18"/>
  <c r="AP28" i="21" s="1"/>
  <c r="AN113" i="18"/>
  <c r="R50" i="12"/>
  <c r="R107" i="18"/>
  <c r="AN103"/>
  <c r="AP32" i="21" s="1"/>
  <c r="R56" i="12"/>
  <c r="AG32" i="20"/>
  <c r="R103" i="18"/>
  <c r="T32" i="22" s="1"/>
  <c r="AN106" i="18"/>
  <c r="R48" i="12"/>
  <c r="R99" i="18"/>
  <c r="T28" i="21" s="1"/>
  <c r="R110" i="18"/>
  <c r="R109"/>
  <c r="R102"/>
  <c r="T31" i="22" s="1"/>
  <c r="R53" i="12"/>
  <c r="R54"/>
  <c r="R52"/>
  <c r="R55"/>
  <c r="I59" i="7"/>
  <c r="AG33" i="20"/>
  <c r="AG33" i="19"/>
  <c r="AN98" i="18"/>
  <c r="AP27" i="21" s="1"/>
  <c r="R44" i="12" l="1"/>
  <c r="AG29" i="20" s="1"/>
  <c r="W46" i="12"/>
  <c r="W45"/>
  <c r="W42"/>
  <c r="AG31" i="20"/>
  <c r="AG31" i="19"/>
  <c r="O66" i="18"/>
  <c r="AD66" s="1"/>
  <c r="AP28" i="22"/>
  <c r="I19" i="7"/>
  <c r="J28" s="1"/>
  <c r="G24" i="1" s="1"/>
  <c r="O76" i="18"/>
  <c r="AD76" s="1"/>
  <c r="I15" i="7"/>
  <c r="J15" s="1"/>
  <c r="I24"/>
  <c r="I23"/>
  <c r="I27"/>
  <c r="I20"/>
  <c r="I14"/>
  <c r="J14" s="1"/>
  <c r="I22"/>
  <c r="I10"/>
  <c r="J10" s="1"/>
  <c r="H44" i="22"/>
  <c r="I90" i="7"/>
  <c r="H43" i="22"/>
  <c r="I8" i="7"/>
  <c r="J8" s="1"/>
  <c r="I5"/>
  <c r="J5" s="1"/>
  <c r="AP29" i="21"/>
  <c r="I60" i="7"/>
  <c r="O41" i="18"/>
  <c r="AD41" s="1"/>
  <c r="I6" i="7"/>
  <c r="J6" s="1"/>
  <c r="I13"/>
  <c r="J13" s="1"/>
  <c r="I81"/>
  <c r="I61"/>
  <c r="I9"/>
  <c r="J9" s="1"/>
  <c r="I7"/>
  <c r="J7" s="1"/>
  <c r="I11"/>
  <c r="J11" s="1"/>
  <c r="I89"/>
  <c r="J90" s="1"/>
  <c r="I82" i="1" s="1"/>
  <c r="H42" i="22"/>
  <c r="AP33" i="21"/>
  <c r="AD45" i="20"/>
  <c r="N37" s="1"/>
  <c r="AC37" s="1"/>
  <c r="N36" s="1"/>
  <c r="I38" i="7"/>
  <c r="J40" s="1"/>
  <c r="I33" i="1" s="1"/>
  <c r="I40" i="7"/>
  <c r="AP31" i="22"/>
  <c r="T33"/>
  <c r="AP27"/>
  <c r="I58" i="7"/>
  <c r="J63" s="1"/>
  <c r="I59" i="1" s="1"/>
  <c r="T29" i="21"/>
  <c r="P60" i="22"/>
  <c r="T27" i="21"/>
  <c r="AF5"/>
  <c r="O49" i="18"/>
  <c r="AD49" s="1"/>
  <c r="T31" i="21"/>
  <c r="I80" i="7"/>
  <c r="AD45" i="22"/>
  <c r="N37" s="1"/>
  <c r="O71" i="18"/>
  <c r="AD71" s="1"/>
  <c r="T28" i="22"/>
  <c r="I46" i="7"/>
  <c r="AP32" i="22"/>
  <c r="C15"/>
  <c r="P150" i="18"/>
  <c r="I48" i="7"/>
  <c r="H146" i="18"/>
  <c r="AM116"/>
  <c r="AP34" i="21" s="1"/>
  <c r="AD45"/>
  <c r="N37" s="1"/>
  <c r="AC37" s="1"/>
  <c r="N36" s="1"/>
  <c r="I82" i="7"/>
  <c r="AD45" i="19"/>
  <c r="N37" s="1"/>
  <c r="AC37" s="1"/>
  <c r="N36" s="1"/>
  <c r="I83" i="7"/>
  <c r="O32" i="18"/>
  <c r="AD32" s="1"/>
  <c r="AB80" s="1"/>
  <c r="P60" i="21"/>
  <c r="AF5" i="22"/>
  <c r="AG62"/>
  <c r="T30"/>
  <c r="AP30" i="21"/>
  <c r="AG28" i="20"/>
  <c r="AG30" i="19"/>
  <c r="T32" i="21"/>
  <c r="Q116" i="18"/>
  <c r="T34" i="22" s="1"/>
  <c r="AE75" i="12"/>
  <c r="AE77" s="1"/>
  <c r="AE78" s="1"/>
  <c r="I112" s="1"/>
  <c r="AG27" i="19"/>
  <c r="AG27" i="20"/>
  <c r="T59" i="12"/>
  <c r="Q59" l="1"/>
  <c r="AG34" i="20" s="1"/>
  <c r="AG29" i="19"/>
  <c r="V59" i="12"/>
  <c r="J16" i="7"/>
  <c r="K16"/>
  <c r="L16" s="1"/>
  <c r="I7" i="1" s="1"/>
  <c r="I16" i="7"/>
  <c r="I9" i="1" s="1"/>
  <c r="I65" s="1"/>
  <c r="AB81" i="18"/>
  <c r="AB82" s="1"/>
  <c r="H134" s="1"/>
  <c r="J83" i="7"/>
  <c r="I75" i="1" s="1"/>
  <c r="T34" i="21"/>
  <c r="AC37" i="22"/>
  <c r="N36" s="1"/>
  <c r="AP34"/>
  <c r="J50" i="7"/>
  <c r="H43" i="1" s="1"/>
  <c r="I44" s="1"/>
  <c r="I62" s="1"/>
  <c r="AG34" i="19"/>
  <c r="Y26" i="23" l="1"/>
  <c r="I84" i="1"/>
  <c r="I86" s="1"/>
  <c r="I89" s="1"/>
  <c r="I24"/>
  <c r="I93" l="1"/>
  <c r="E27" i="2" l="1"/>
  <c r="I94" i="1"/>
  <c r="E25" i="2" l="1"/>
  <c r="E29" s="1"/>
  <c r="E32" s="1"/>
  <c r="I96" i="1"/>
  <c r="E45" i="2" l="1"/>
  <c r="I45" s="1"/>
</calcChain>
</file>

<file path=xl/comments1.xml><?xml version="1.0" encoding="utf-8"?>
<comments xmlns="http://schemas.openxmlformats.org/spreadsheetml/2006/main">
  <authors>
    <author>a4674</author>
  </authors>
  <commentList>
    <comment ref="E5" authorId="0">
      <text>
        <r>
          <rPr>
            <b/>
            <sz val="9"/>
            <color indexed="81"/>
            <rFont val="ＭＳ Ｐゴシック"/>
            <family val="3"/>
            <charset val="128"/>
          </rPr>
          <t>外注付託依頼書 派遣者氏名を表示</t>
        </r>
      </text>
    </comment>
    <comment ref="E6" authorId="0">
      <text>
        <r>
          <rPr>
            <b/>
            <sz val="9"/>
            <color indexed="81"/>
            <rFont val="ＭＳ Ｐゴシック"/>
            <family val="3"/>
            <charset val="128"/>
          </rPr>
          <t>外注付託依頼書 選定業者名＋選定業者部署名を表示</t>
        </r>
      </text>
    </comment>
  </commentList>
</comments>
</file>

<file path=xl/comments2.xml><?xml version="1.0" encoding="utf-8"?>
<comments xmlns="http://schemas.openxmlformats.org/spreadsheetml/2006/main">
  <authors>
    <author>a4674</author>
  </authors>
  <commentList>
    <comment ref="G8" authorId="0">
      <text>
        <r>
          <rPr>
            <b/>
            <sz val="9"/>
            <color indexed="81"/>
            <rFont val="ＭＳ Ｐゴシック"/>
            <family val="3"/>
            <charset val="128"/>
          </rPr>
          <t>外注付託依頼書 依頼部名を表示</t>
        </r>
      </text>
    </comment>
    <comment ref="D13" authorId="0">
      <text>
        <r>
          <rPr>
            <b/>
            <sz val="9"/>
            <color indexed="81"/>
            <rFont val="ＭＳ Ｐゴシック"/>
            <family val="3"/>
            <charset val="128"/>
          </rPr>
          <t>外注付託依頼書 件名（和文）を表示</t>
        </r>
      </text>
    </comment>
    <comment ref="D15" authorId="0">
      <text>
        <r>
          <rPr>
            <b/>
            <sz val="9"/>
            <color indexed="81"/>
            <rFont val="ＭＳ Ｐゴシック"/>
            <family val="3"/>
            <charset val="128"/>
          </rPr>
          <t>外注付託依頼書 作業科目を表示</t>
        </r>
      </text>
    </comment>
    <comment ref="D18" authorId="0">
      <text>
        <r>
          <rPr>
            <b/>
            <sz val="9"/>
            <color indexed="81"/>
            <rFont val="ＭＳ Ｐゴシック"/>
            <family val="3"/>
            <charset val="128"/>
          </rPr>
          <t>算出表 借上要員名を表示</t>
        </r>
      </text>
    </comment>
    <comment ref="D21" authorId="0">
      <text>
        <r>
          <rPr>
            <b/>
            <sz val="9"/>
            <color indexed="81"/>
            <rFont val="ＭＳ Ｐゴシック"/>
            <family val="3"/>
            <charset val="128"/>
          </rPr>
          <t>算出表 所属を表示</t>
        </r>
      </text>
    </comment>
    <comment ref="E32" authorId="0">
      <text>
        <r>
          <rPr>
            <b/>
            <sz val="9"/>
            <color indexed="81"/>
            <rFont val="ＭＳ Ｐゴシック"/>
            <family val="3"/>
            <charset val="128"/>
          </rPr>
          <t xml:space="preserve">発注B/R  </t>
        </r>
      </text>
    </comment>
    <comment ref="E34" authorId="0">
      <text>
        <r>
          <rPr>
            <b/>
            <sz val="9"/>
            <color indexed="81"/>
            <rFont val="ＭＳ Ｐゴシック"/>
            <family val="3"/>
            <charset val="128"/>
          </rPr>
          <t>受注B/R</t>
        </r>
      </text>
    </comment>
  </commentList>
</comments>
</file>

<file path=xl/comments3.xml><?xml version="1.0" encoding="utf-8"?>
<comments xmlns="http://schemas.openxmlformats.org/spreadsheetml/2006/main">
  <authors>
    <author>a4674</author>
  </authors>
  <commentList>
    <comment ref="C5" authorId="0">
      <text>
        <r>
          <rPr>
            <b/>
            <sz val="9"/>
            <color indexed="81"/>
            <rFont val="ＭＳ Ｐゴシック"/>
            <family val="3"/>
            <charset val="128"/>
          </rPr>
          <t>外注付託依頼書 選定業者名表示</t>
        </r>
      </text>
    </comment>
    <comment ref="C15" authorId="0">
      <text>
        <r>
          <rPr>
            <b/>
            <sz val="9"/>
            <color indexed="81"/>
            <rFont val="ＭＳ Ｐゴシック"/>
            <family val="3"/>
            <charset val="128"/>
          </rPr>
          <t>外注付託依頼書 派遣者氏名を表示</t>
        </r>
      </text>
    </comment>
    <comment ref="E20" authorId="0">
      <text>
        <r>
          <rPr>
            <b/>
            <sz val="9"/>
            <color indexed="81"/>
            <rFont val="ＭＳ Ｐゴシック"/>
            <family val="3"/>
            <charset val="128"/>
          </rPr>
          <t>外注付託依頼書 担当業務を表示</t>
        </r>
      </text>
    </comment>
  </commentList>
</comments>
</file>

<file path=xl/comments4.xml><?xml version="1.0" encoding="utf-8"?>
<comments xmlns="http://schemas.openxmlformats.org/spreadsheetml/2006/main">
  <authors>
    <author>A4674</author>
    <author>v0520</author>
    <author>a4674</author>
    <author>国際業務部</author>
  </authors>
  <commentList>
    <comment ref="AE6" authorId="0">
      <text>
        <r>
          <rPr>
            <b/>
            <sz val="9"/>
            <color indexed="81"/>
            <rFont val="ＭＳ Ｐゴシック"/>
            <family val="3"/>
            <charset val="128"/>
          </rPr>
          <t>日付は、
「yyyy/mm/dd」で入力してください。
  例）2002/12/24</t>
        </r>
      </text>
    </comment>
    <comment ref="AE7" authorId="0">
      <text>
        <r>
          <rPr>
            <b/>
            <sz val="9"/>
            <color indexed="81"/>
            <rFont val="ＭＳ Ｐゴシック"/>
            <family val="3"/>
            <charset val="128"/>
          </rPr>
          <t>日付は、
「yyyy/mm/dd」で入力してください。
  例）2002/12/24</t>
        </r>
      </text>
    </comment>
    <comment ref="AE8" authorId="0">
      <text>
        <r>
          <rPr>
            <b/>
            <sz val="9"/>
            <color indexed="81"/>
            <rFont val="ＭＳ Ｐゴシック"/>
            <family val="3"/>
            <charset val="128"/>
          </rPr>
          <t>日付は、
「yyyy/mm/dd」で入力してください。
  例）2002/12/24</t>
        </r>
      </text>
    </comment>
    <comment ref="AG20" authorId="1">
      <text>
        <r>
          <rPr>
            <b/>
            <sz val="9"/>
            <color indexed="81"/>
            <rFont val="ＭＳ Ｐゴシック"/>
            <family val="3"/>
            <charset val="128"/>
          </rPr>
          <t>月額算定書「受注報酬額／月」より、データ取得</t>
        </r>
      </text>
    </comment>
    <comment ref="L21" authorId="1">
      <text>
        <r>
          <rPr>
            <b/>
            <sz val="9"/>
            <color indexed="81"/>
            <rFont val="ＭＳ Ｐゴシック"/>
            <family val="3"/>
            <charset val="128"/>
          </rPr>
          <t>入力された「作業科目」に基づくデータを設定。（和文）</t>
        </r>
      </text>
    </comment>
    <comment ref="AG21" authorId="1">
      <text>
        <r>
          <rPr>
            <b/>
            <sz val="9"/>
            <color indexed="81"/>
            <rFont val="ＭＳ Ｐゴシック"/>
            <family val="3"/>
            <charset val="128"/>
          </rPr>
          <t>月額算定書「基本報酬額／月」より、データ取得</t>
        </r>
      </text>
    </comment>
    <comment ref="L22" authorId="1">
      <text>
        <r>
          <rPr>
            <b/>
            <sz val="9"/>
            <color indexed="81"/>
            <rFont val="ＭＳ Ｐゴシック"/>
            <family val="3"/>
            <charset val="128"/>
          </rPr>
          <t>入力された「作業科目」に基づくデータを設定。（英文）</t>
        </r>
      </text>
    </comment>
    <comment ref="AG22" authorId="1">
      <text>
        <r>
          <rPr>
            <b/>
            <sz val="9"/>
            <color indexed="81"/>
            <rFont val="ＭＳ Ｐゴシック"/>
            <family val="3"/>
            <charset val="128"/>
          </rPr>
          <t>月額算定書「発注率」より、データ取得。
または、「発注Ｂ／Ｒ」÷「受注Ｂ／Ｒ」にて計算。</t>
        </r>
      </text>
    </comment>
    <comment ref="U23" authorId="1">
      <text>
        <r>
          <rPr>
            <b/>
            <sz val="9"/>
            <color indexed="81"/>
            <rFont val="ＭＳ Ｐゴシック"/>
            <family val="3"/>
            <charset val="128"/>
          </rPr>
          <t>月額算定書「作業科目」から、取得。
月額算定書に、入力がある場合（日本人）は、変更（入力）を不可とする。
月額算定書に、入力が無い場合（外国人）は、変更（入力）を可能にする</t>
        </r>
      </text>
    </comment>
    <comment ref="L24" authorId="1">
      <text>
        <r>
          <rPr>
            <b/>
            <sz val="9"/>
            <color indexed="81"/>
            <rFont val="ＭＳ Ｐゴシック"/>
            <family val="3"/>
            <charset val="128"/>
          </rPr>
          <t>入力された「作業科目」に基づくデータを設定。</t>
        </r>
      </text>
    </comment>
    <comment ref="G25" authorId="1">
      <text>
        <r>
          <rPr>
            <b/>
            <sz val="9"/>
            <color indexed="81"/>
            <rFont val="ＭＳ Ｐゴシック"/>
            <family val="3"/>
            <charset val="128"/>
          </rPr>
          <t>月額算定書「外注形態」より、データ取得</t>
        </r>
      </text>
    </comment>
    <comment ref="N25" authorId="1">
      <text>
        <r>
          <rPr>
            <b/>
            <sz val="9"/>
            <color indexed="81"/>
            <rFont val="ＭＳ Ｐゴシック"/>
            <family val="3"/>
            <charset val="128"/>
          </rPr>
          <t>予算処置を選択する</t>
        </r>
      </text>
    </comment>
    <comment ref="Y25" authorId="1">
      <text>
        <r>
          <rPr>
            <b/>
            <sz val="9"/>
            <color indexed="81"/>
            <rFont val="ＭＳ Ｐゴシック"/>
            <family val="3"/>
            <charset val="128"/>
          </rPr>
          <t>勘定科目を入力してください</t>
        </r>
      </text>
    </comment>
    <comment ref="AB25" authorId="1">
      <text>
        <r>
          <rPr>
            <b/>
            <sz val="9"/>
            <color indexed="81"/>
            <rFont val="ＭＳ Ｐゴシック"/>
            <family val="3"/>
            <charset val="128"/>
          </rPr>
          <t>手入力</t>
        </r>
      </text>
    </comment>
    <comment ref="G27" authorId="1">
      <text>
        <r>
          <rPr>
            <b/>
            <sz val="9"/>
            <color indexed="81"/>
            <rFont val="ＭＳ Ｐゴシック"/>
            <family val="3"/>
            <charset val="128"/>
          </rPr>
          <t>作業内容を選択する</t>
        </r>
      </text>
    </comment>
    <comment ref="G28" authorId="1">
      <text>
        <r>
          <rPr>
            <b/>
            <sz val="9"/>
            <color indexed="81"/>
            <rFont val="ＭＳ Ｐゴシック"/>
            <family val="3"/>
            <charset val="128"/>
          </rPr>
          <t>検索フォームを使用して、検索する（仕入先コード）</t>
        </r>
      </text>
    </comment>
    <comment ref="AA28" authorId="1">
      <text>
        <r>
          <rPr>
            <b/>
            <sz val="9"/>
            <color indexed="81"/>
            <rFont val="ＭＳ Ｐゴシック"/>
            <family val="3"/>
            <charset val="128"/>
          </rPr>
          <t>通貨単位を入力（JPY/USD/その他）</t>
        </r>
      </text>
    </comment>
    <comment ref="AB28" authorId="1">
      <text>
        <r>
          <rPr>
            <b/>
            <sz val="9"/>
            <color indexed="81"/>
            <rFont val="ＭＳ Ｐゴシック"/>
            <family val="3"/>
            <charset val="128"/>
          </rPr>
          <t>外貨での発注単価を入力</t>
        </r>
      </text>
    </comment>
    <comment ref="AD28" authorId="1">
      <text>
        <r>
          <rPr>
            <b/>
            <sz val="9"/>
            <color indexed="81"/>
            <rFont val="ＭＳ Ｐゴシック"/>
            <family val="3"/>
            <charset val="128"/>
          </rPr>
          <t>発注報酬額の数量（M/M）</t>
        </r>
      </text>
    </comment>
    <comment ref="AE28" authorId="1">
      <text>
        <r>
          <rPr>
            <b/>
            <sz val="9"/>
            <color indexed="81"/>
            <rFont val="ＭＳ Ｐゴシック"/>
            <family val="3"/>
            <charset val="128"/>
          </rPr>
          <t>外貨での数量単位を選択</t>
        </r>
      </text>
    </comment>
    <comment ref="AH28" authorId="1">
      <text>
        <r>
          <rPr>
            <b/>
            <sz val="9"/>
            <color indexed="81"/>
            <rFont val="ＭＳ Ｐゴシック"/>
            <family val="3"/>
            <charset val="128"/>
          </rPr>
          <t>外貨合計
（「外貨単価」×「数量」）</t>
        </r>
      </text>
    </comment>
    <comment ref="G29" authorId="1">
      <text>
        <r>
          <rPr>
            <b/>
            <sz val="9"/>
            <color indexed="81"/>
            <rFont val="ＭＳ Ｐゴシック"/>
            <family val="3"/>
            <charset val="128"/>
          </rPr>
          <t>業者コード（仕入先コード）検索時に取得</t>
        </r>
      </text>
    </comment>
    <comment ref="G30" authorId="1">
      <text>
        <r>
          <rPr>
            <b/>
            <sz val="9"/>
            <color indexed="81"/>
            <rFont val="ＭＳ Ｐゴシック"/>
            <family val="3"/>
            <charset val="128"/>
          </rPr>
          <t>業者コード（仕入先コード）検索時に取得</t>
        </r>
      </text>
    </comment>
    <comment ref="Q31" authorId="1">
      <text>
        <r>
          <rPr>
            <b/>
            <sz val="9"/>
            <color indexed="81"/>
            <rFont val="ＭＳ Ｐゴシック"/>
            <family val="3"/>
            <charset val="128"/>
          </rPr>
          <t>業者コード（仕入先コード）検索時に取得</t>
        </r>
      </text>
    </comment>
    <comment ref="Y31" authorId="1">
      <text>
        <r>
          <rPr>
            <b/>
            <sz val="9"/>
            <color indexed="81"/>
            <rFont val="ＭＳ Ｐゴシック"/>
            <family val="3"/>
            <charset val="128"/>
          </rPr>
          <t>勘定科目を入力してください</t>
        </r>
      </text>
    </comment>
    <comment ref="AC31" authorId="1">
      <text>
        <r>
          <rPr>
            <b/>
            <sz val="9"/>
            <color indexed="81"/>
            <rFont val="ＭＳ Ｐゴシック"/>
            <family val="3"/>
            <charset val="128"/>
          </rPr>
          <t>区分を選択</t>
        </r>
      </text>
    </comment>
    <comment ref="Q32" authorId="1">
      <text>
        <r>
          <rPr>
            <b/>
            <sz val="9"/>
            <color indexed="81"/>
            <rFont val="ＭＳ Ｐゴシック"/>
            <family val="3"/>
            <charset val="128"/>
          </rPr>
          <t>業者コード（仕入先コード）検索時に取得</t>
        </r>
      </text>
    </comment>
    <comment ref="AC33" authorId="1">
      <text>
        <r>
          <rPr>
            <b/>
            <sz val="9"/>
            <color indexed="81"/>
            <rFont val="ＭＳ Ｐゴシック"/>
            <family val="3"/>
            <charset val="128"/>
          </rPr>
          <t>支払先を選択</t>
        </r>
      </text>
    </comment>
    <comment ref="AC34" authorId="1">
      <text>
        <r>
          <rPr>
            <b/>
            <sz val="9"/>
            <color indexed="81"/>
            <rFont val="ＭＳ Ｐゴシック"/>
            <family val="3"/>
            <charset val="128"/>
          </rPr>
          <t>手入力</t>
        </r>
      </text>
    </comment>
    <comment ref="AA36" authorId="1">
      <text>
        <r>
          <rPr>
            <b/>
            <sz val="9"/>
            <color indexed="81"/>
            <rFont val="ＭＳ Ｐゴシック"/>
            <family val="3"/>
            <charset val="128"/>
          </rPr>
          <t>通貨単位を入力（JPY/USD/その他）</t>
        </r>
      </text>
    </comment>
    <comment ref="AB36" authorId="1">
      <text>
        <r>
          <rPr>
            <b/>
            <sz val="9"/>
            <color indexed="81"/>
            <rFont val="ＭＳ Ｐゴシック"/>
            <family val="3"/>
            <charset val="128"/>
          </rPr>
          <t>外貨での発注単価を入力</t>
        </r>
      </text>
    </comment>
    <comment ref="AD36" authorId="1">
      <text>
        <r>
          <rPr>
            <b/>
            <sz val="9"/>
            <color indexed="81"/>
            <rFont val="ＭＳ Ｐゴシック"/>
            <family val="3"/>
            <charset val="128"/>
          </rPr>
          <t>日当の数量（海外日）</t>
        </r>
      </text>
    </comment>
    <comment ref="AE36" authorId="1">
      <text>
        <r>
          <rPr>
            <b/>
            <sz val="9"/>
            <color indexed="81"/>
            <rFont val="ＭＳ Ｐゴシック"/>
            <family val="3"/>
            <charset val="128"/>
          </rPr>
          <t>外貨での数量単位を選択</t>
        </r>
      </text>
    </comment>
    <comment ref="AH36" authorId="1">
      <text>
        <r>
          <rPr>
            <b/>
            <sz val="9"/>
            <color indexed="81"/>
            <rFont val="ＭＳ Ｐゴシック"/>
            <family val="3"/>
            <charset val="128"/>
          </rPr>
          <t>外貨合計
（「外貨単価」×「数量」）</t>
        </r>
      </text>
    </comment>
    <comment ref="Y39" authorId="1">
      <text>
        <r>
          <rPr>
            <b/>
            <sz val="9"/>
            <color indexed="81"/>
            <rFont val="ＭＳ Ｐゴシック"/>
            <family val="3"/>
            <charset val="128"/>
          </rPr>
          <t>勘定科目を入力してください</t>
        </r>
      </text>
    </comment>
    <comment ref="AC39" authorId="1">
      <text>
        <r>
          <rPr>
            <b/>
            <sz val="9"/>
            <color indexed="81"/>
            <rFont val="ＭＳ Ｐゴシック"/>
            <family val="3"/>
            <charset val="128"/>
          </rPr>
          <t>区分を選択</t>
        </r>
      </text>
    </comment>
    <comment ref="AC41" authorId="1">
      <text>
        <r>
          <rPr>
            <b/>
            <sz val="9"/>
            <color indexed="81"/>
            <rFont val="ＭＳ Ｐゴシック"/>
            <family val="3"/>
            <charset val="128"/>
          </rPr>
          <t>支払先を選択</t>
        </r>
      </text>
    </comment>
    <comment ref="AC42" authorId="1">
      <text>
        <r>
          <rPr>
            <b/>
            <sz val="9"/>
            <color indexed="81"/>
            <rFont val="ＭＳ Ｐゴシック"/>
            <family val="3"/>
            <charset val="128"/>
          </rPr>
          <t>手入力</t>
        </r>
      </text>
    </comment>
    <comment ref="AA44" authorId="1">
      <text>
        <r>
          <rPr>
            <b/>
            <sz val="9"/>
            <color indexed="81"/>
            <rFont val="ＭＳ Ｐゴシック"/>
            <family val="3"/>
            <charset val="128"/>
          </rPr>
          <t>通貨単位を入力（JPY/USD/その他）</t>
        </r>
      </text>
    </comment>
    <comment ref="AB44" authorId="1">
      <text>
        <r>
          <rPr>
            <b/>
            <sz val="9"/>
            <color indexed="81"/>
            <rFont val="ＭＳ Ｐゴシック"/>
            <family val="3"/>
            <charset val="128"/>
          </rPr>
          <t>外貨での発注単価を入力</t>
        </r>
      </text>
    </comment>
    <comment ref="AD44" authorId="1">
      <text>
        <r>
          <rPr>
            <b/>
            <sz val="9"/>
            <color indexed="81"/>
            <rFont val="ＭＳ Ｐゴシック"/>
            <family val="3"/>
            <charset val="128"/>
          </rPr>
          <t>宿泊費の数量（海外日）</t>
        </r>
      </text>
    </comment>
    <comment ref="AE44" authorId="1">
      <text>
        <r>
          <rPr>
            <b/>
            <sz val="9"/>
            <color indexed="81"/>
            <rFont val="ＭＳ Ｐゴシック"/>
            <family val="3"/>
            <charset val="128"/>
          </rPr>
          <t>外貨での数量単位を選択</t>
        </r>
      </text>
    </comment>
    <comment ref="AH44" authorId="1">
      <text>
        <r>
          <rPr>
            <b/>
            <sz val="9"/>
            <color indexed="81"/>
            <rFont val="ＭＳ Ｐゴシック"/>
            <family val="3"/>
            <charset val="128"/>
          </rPr>
          <t>外貨合計
（「外貨単価」×「数量」）</t>
        </r>
      </text>
    </comment>
    <comment ref="Y47" authorId="1">
      <text>
        <r>
          <rPr>
            <b/>
            <sz val="9"/>
            <color indexed="81"/>
            <rFont val="ＭＳ Ｐゴシック"/>
            <family val="3"/>
            <charset val="128"/>
          </rPr>
          <t>勘定科目を入力してください</t>
        </r>
      </text>
    </comment>
    <comment ref="AA47" authorId="1">
      <text>
        <r>
          <rPr>
            <b/>
            <sz val="9"/>
            <color indexed="81"/>
            <rFont val="ＭＳ Ｐゴシック"/>
            <family val="3"/>
            <charset val="128"/>
          </rPr>
          <t>航空券区分を選択</t>
        </r>
      </text>
    </comment>
    <comment ref="AB48" authorId="1">
      <text>
        <r>
          <rPr>
            <b/>
            <sz val="9"/>
            <color indexed="81"/>
            <rFont val="ＭＳ Ｐゴシック"/>
            <family val="3"/>
            <charset val="128"/>
          </rPr>
          <t>手入力</t>
        </r>
      </text>
    </comment>
    <comment ref="AB49" authorId="1">
      <text>
        <r>
          <rPr>
            <b/>
            <sz val="9"/>
            <color indexed="81"/>
            <rFont val="ＭＳ Ｐゴシック"/>
            <family val="3"/>
            <charset val="128"/>
          </rPr>
          <t>航空券クラスを選択</t>
        </r>
      </text>
    </comment>
    <comment ref="AC50" authorId="1">
      <text>
        <r>
          <rPr>
            <b/>
            <sz val="9"/>
            <color indexed="81"/>
            <rFont val="ＭＳ Ｐゴシック"/>
            <family val="3"/>
            <charset val="128"/>
          </rPr>
          <t>ルートを手入力</t>
        </r>
      </text>
    </comment>
    <comment ref="AC51" authorId="1">
      <text>
        <r>
          <rPr>
            <b/>
            <sz val="9"/>
            <color indexed="81"/>
            <rFont val="ＭＳ Ｐゴシック"/>
            <family val="3"/>
            <charset val="128"/>
          </rPr>
          <t>備考を手入力</t>
        </r>
      </text>
    </comment>
    <comment ref="AE52" authorId="2">
      <text>
        <r>
          <rPr>
            <b/>
            <sz val="9"/>
            <color indexed="81"/>
            <rFont val="ＭＳ Ｐゴシック"/>
            <family val="3"/>
            <charset val="128"/>
          </rPr>
          <t>回数を入力</t>
        </r>
      </text>
    </comment>
    <comment ref="AH52" authorId="2">
      <text>
        <r>
          <rPr>
            <b/>
            <sz val="9"/>
            <color indexed="81"/>
            <rFont val="ＭＳ Ｐゴシック"/>
            <family val="3"/>
            <charset val="128"/>
          </rPr>
          <t>回数を入力</t>
        </r>
      </text>
    </comment>
    <comment ref="Y54" authorId="1">
      <text>
        <r>
          <rPr>
            <b/>
            <sz val="9"/>
            <color indexed="81"/>
            <rFont val="ＭＳ Ｐゴシック"/>
            <family val="3"/>
            <charset val="128"/>
          </rPr>
          <t>勘定科目を入力してください</t>
        </r>
      </text>
    </comment>
    <comment ref="AA55" authorId="1">
      <text>
        <r>
          <rPr>
            <b/>
            <sz val="9"/>
            <color indexed="81"/>
            <rFont val="ＭＳ Ｐゴシック"/>
            <family val="3"/>
            <charset val="128"/>
          </rPr>
          <t>海外旅行傷害保険を選択</t>
        </r>
      </text>
    </comment>
    <comment ref="Z59" authorId="3">
      <text>
        <r>
          <rPr>
            <b/>
            <sz val="9"/>
            <color indexed="81"/>
            <rFont val="ＭＳ Ｐゴシック"/>
            <family val="3"/>
            <charset val="128"/>
          </rPr>
          <t>使用目的を手入力。:</t>
        </r>
      </text>
    </comment>
    <comment ref="AF59" authorId="1">
      <text>
        <r>
          <rPr>
            <b/>
            <sz val="9"/>
            <color indexed="81"/>
            <rFont val="ＭＳ Ｐゴシック"/>
            <family val="3"/>
            <charset val="128"/>
          </rPr>
          <t>値を選択</t>
        </r>
      </text>
    </comment>
    <comment ref="Y60" authorId="1">
      <text>
        <r>
          <rPr>
            <b/>
            <sz val="9"/>
            <color indexed="81"/>
            <rFont val="ＭＳ Ｐゴシック"/>
            <family val="3"/>
            <charset val="128"/>
          </rPr>
          <t>勘定科目を入力してください</t>
        </r>
      </text>
    </comment>
    <comment ref="AA61" authorId="1">
      <text>
        <r>
          <rPr>
            <b/>
            <sz val="9"/>
            <color indexed="81"/>
            <rFont val="ＭＳ Ｐゴシック"/>
            <family val="3"/>
            <charset val="128"/>
          </rPr>
          <t>通貨単位を入力（JPY/USD/その他）</t>
        </r>
      </text>
    </comment>
    <comment ref="AD61" authorId="1">
      <text>
        <r>
          <rPr>
            <b/>
            <sz val="9"/>
            <color indexed="81"/>
            <rFont val="ＭＳ Ｐゴシック"/>
            <family val="3"/>
            <charset val="128"/>
          </rPr>
          <t>手入力</t>
        </r>
      </text>
    </comment>
    <comment ref="AE61" authorId="1">
      <text>
        <r>
          <rPr>
            <b/>
            <sz val="9"/>
            <color indexed="81"/>
            <rFont val="ＭＳ Ｐゴシック"/>
            <family val="3"/>
            <charset val="128"/>
          </rPr>
          <t>外貨での数量単位を選択</t>
        </r>
      </text>
    </comment>
    <comment ref="AH61" authorId="1">
      <text>
        <r>
          <rPr>
            <b/>
            <sz val="9"/>
            <color indexed="81"/>
            <rFont val="ＭＳ Ｐゴシック"/>
            <family val="3"/>
            <charset val="128"/>
          </rPr>
          <t>外貨合計
（「外貨単価」×「数量」）</t>
        </r>
      </text>
    </comment>
    <comment ref="Z64" authorId="3">
      <text>
        <r>
          <rPr>
            <b/>
            <sz val="9"/>
            <color indexed="81"/>
            <rFont val="ＭＳ Ｐゴシック"/>
            <family val="3"/>
            <charset val="128"/>
          </rPr>
          <t>使用目的を手入力。:</t>
        </r>
      </text>
    </comment>
    <comment ref="AF64" authorId="1">
      <text>
        <r>
          <rPr>
            <b/>
            <sz val="9"/>
            <color indexed="81"/>
            <rFont val="ＭＳ Ｐゴシック"/>
            <family val="3"/>
            <charset val="128"/>
          </rPr>
          <t>値を選択</t>
        </r>
      </text>
    </comment>
    <comment ref="Y65" authorId="1">
      <text>
        <r>
          <rPr>
            <b/>
            <sz val="9"/>
            <color indexed="81"/>
            <rFont val="ＭＳ Ｐゴシック"/>
            <family val="3"/>
            <charset val="128"/>
          </rPr>
          <t>勘定科目を入力してください</t>
        </r>
      </text>
    </comment>
    <comment ref="AA66" authorId="1">
      <text>
        <r>
          <rPr>
            <b/>
            <sz val="9"/>
            <color indexed="81"/>
            <rFont val="ＭＳ Ｐゴシック"/>
            <family val="3"/>
            <charset val="128"/>
          </rPr>
          <t>通貨単位を入力（JPY/USD/その他）</t>
        </r>
      </text>
    </comment>
    <comment ref="AB66" authorId="1">
      <text>
        <r>
          <rPr>
            <b/>
            <sz val="9"/>
            <color indexed="81"/>
            <rFont val="ＭＳ Ｐゴシック"/>
            <family val="3"/>
            <charset val="128"/>
          </rPr>
          <t>外貨での発注単価を入力</t>
        </r>
      </text>
    </comment>
    <comment ref="AD66" authorId="1">
      <text>
        <r>
          <rPr>
            <b/>
            <sz val="9"/>
            <color indexed="81"/>
            <rFont val="ＭＳ Ｐゴシック"/>
            <family val="3"/>
            <charset val="128"/>
          </rPr>
          <t>手入力</t>
        </r>
      </text>
    </comment>
    <comment ref="AE66" authorId="1">
      <text>
        <r>
          <rPr>
            <b/>
            <sz val="9"/>
            <color indexed="81"/>
            <rFont val="ＭＳ Ｐゴシック"/>
            <family val="3"/>
            <charset val="128"/>
          </rPr>
          <t>外貨での数量単位を選択</t>
        </r>
      </text>
    </comment>
    <comment ref="AH66" authorId="1">
      <text>
        <r>
          <rPr>
            <b/>
            <sz val="9"/>
            <color indexed="81"/>
            <rFont val="ＭＳ Ｐゴシック"/>
            <family val="3"/>
            <charset val="128"/>
          </rPr>
          <t>外貨合計
（「外貨単価」×「数量」）</t>
        </r>
      </text>
    </comment>
    <comment ref="Z69" authorId="3">
      <text>
        <r>
          <rPr>
            <b/>
            <sz val="9"/>
            <color indexed="81"/>
            <rFont val="ＭＳ Ｐゴシック"/>
            <family val="3"/>
            <charset val="128"/>
          </rPr>
          <t>使用目的を手入力。</t>
        </r>
      </text>
    </comment>
    <comment ref="AF69" authorId="1">
      <text>
        <r>
          <rPr>
            <b/>
            <sz val="9"/>
            <color indexed="81"/>
            <rFont val="ＭＳ Ｐゴシック"/>
            <family val="3"/>
            <charset val="128"/>
          </rPr>
          <t>値を選択</t>
        </r>
      </text>
    </comment>
    <comment ref="Y70" authorId="1">
      <text>
        <r>
          <rPr>
            <b/>
            <sz val="9"/>
            <color indexed="81"/>
            <rFont val="ＭＳ Ｐゴシック"/>
            <family val="3"/>
            <charset val="128"/>
          </rPr>
          <t>勘定科目を入力してください</t>
        </r>
      </text>
    </comment>
    <comment ref="AA71" authorId="1">
      <text>
        <r>
          <rPr>
            <b/>
            <sz val="9"/>
            <color indexed="81"/>
            <rFont val="ＭＳ Ｐゴシック"/>
            <family val="3"/>
            <charset val="128"/>
          </rPr>
          <t>通貨単位を入力（JPY/USD/その他）</t>
        </r>
      </text>
    </comment>
    <comment ref="AB71" authorId="1">
      <text>
        <r>
          <rPr>
            <b/>
            <sz val="9"/>
            <color indexed="81"/>
            <rFont val="ＭＳ Ｐゴシック"/>
            <family val="3"/>
            <charset val="128"/>
          </rPr>
          <t>外貨での発注単価を入力</t>
        </r>
      </text>
    </comment>
    <comment ref="AD71" authorId="1">
      <text>
        <r>
          <rPr>
            <b/>
            <sz val="9"/>
            <color indexed="81"/>
            <rFont val="ＭＳ Ｐゴシック"/>
            <family val="3"/>
            <charset val="128"/>
          </rPr>
          <t>手入力</t>
        </r>
      </text>
    </comment>
    <comment ref="AE71" authorId="1">
      <text>
        <r>
          <rPr>
            <b/>
            <sz val="9"/>
            <color indexed="81"/>
            <rFont val="ＭＳ Ｐゴシック"/>
            <family val="3"/>
            <charset val="128"/>
          </rPr>
          <t>外貨での数量単位を選択</t>
        </r>
      </text>
    </comment>
    <comment ref="AH71" authorId="1">
      <text>
        <r>
          <rPr>
            <b/>
            <sz val="9"/>
            <color indexed="81"/>
            <rFont val="ＭＳ Ｐゴシック"/>
            <family val="3"/>
            <charset val="128"/>
          </rPr>
          <t>外貨合計
（「外貨単価」×「数量」）</t>
        </r>
      </text>
    </comment>
    <comment ref="AE75" authorId="1">
      <text>
        <r>
          <rPr>
            <b/>
            <sz val="9"/>
            <color indexed="81"/>
            <rFont val="ＭＳ Ｐゴシック"/>
            <family val="3"/>
            <charset val="128"/>
          </rPr>
          <t>上記発注条件内の円貨金額の合計</t>
        </r>
      </text>
    </comment>
    <comment ref="AE77" authorId="1">
      <text>
        <r>
          <rPr>
            <b/>
            <sz val="9"/>
            <color indexed="81"/>
            <rFont val="ＭＳ Ｐゴシック"/>
            <family val="3"/>
            <charset val="128"/>
          </rPr>
          <t>改め計に対する消費税額を表示
（計算方法は、区分のコメントを参照）</t>
        </r>
      </text>
    </comment>
    <comment ref="AE78" authorId="1">
      <text>
        <r>
          <rPr>
            <sz val="11"/>
            <rFont val="ＭＳ Ｐゴシック"/>
            <family val="3"/>
            <charset val="128"/>
          </rPr>
          <t>発注額合計
（「改め計」＋「消費税」）</t>
        </r>
      </text>
    </comment>
    <comment ref="AG81" authorId="1">
      <text>
        <r>
          <rPr>
            <b/>
            <sz val="9"/>
            <color indexed="81"/>
            <rFont val="ＭＳ Ｐゴシック"/>
            <family val="3"/>
            <charset val="128"/>
          </rPr>
          <t>住居区分を選択</t>
        </r>
      </text>
    </comment>
    <comment ref="AG82" authorId="1">
      <text>
        <r>
          <rPr>
            <b/>
            <sz val="9"/>
            <color indexed="81"/>
            <rFont val="ＭＳ Ｐゴシック"/>
            <family val="3"/>
            <charset val="128"/>
          </rPr>
          <t>源泉税徴収区分を選択</t>
        </r>
      </text>
    </comment>
    <comment ref="I123" authorId="1">
      <text>
        <r>
          <rPr>
            <b/>
            <sz val="9"/>
            <color indexed="81"/>
            <rFont val="ＭＳ Ｐゴシック"/>
            <family val="3"/>
            <charset val="128"/>
          </rPr>
          <t>必要な場合は、入力して下さい。</t>
        </r>
      </text>
    </comment>
    <comment ref="I124" authorId="1">
      <text>
        <r>
          <rPr>
            <b/>
            <sz val="9"/>
            <color indexed="81"/>
            <rFont val="ＭＳ Ｐゴシック"/>
            <family val="3"/>
            <charset val="128"/>
          </rPr>
          <t>発注時のログインユーザーになります。</t>
        </r>
      </text>
    </comment>
    <comment ref="M126" authorId="1">
      <text>
        <r>
          <rPr>
            <b/>
            <sz val="9"/>
            <color indexed="81"/>
            <rFont val="ＭＳ Ｐゴシック"/>
            <family val="3"/>
            <charset val="128"/>
          </rPr>
          <t>発注時に確定した情報を設定します。</t>
        </r>
      </text>
    </comment>
    <comment ref="I133" authorId="1">
      <text>
        <r>
          <rPr>
            <b/>
            <sz val="9"/>
            <color indexed="81"/>
            <rFont val="ＭＳ Ｐゴシック"/>
            <family val="3"/>
            <charset val="128"/>
          </rPr>
          <t>特記事項があれば、入力して下さい。</t>
        </r>
      </text>
    </comment>
  </commentList>
</comments>
</file>

<file path=xl/comments5.xml><?xml version="1.0" encoding="utf-8"?>
<comments xmlns="http://schemas.openxmlformats.org/spreadsheetml/2006/main">
  <authors>
    <author>v0520</author>
    <author>a4674</author>
    <author>A4674</author>
  </authors>
  <commentList>
    <comment ref="AG3" authorId="0">
      <text>
        <r>
          <rPr>
            <b/>
            <sz val="9"/>
            <color indexed="81"/>
            <rFont val="ＭＳ Ｐゴシック"/>
            <family val="3"/>
            <charset val="128"/>
          </rPr>
          <t>日付は、
「yyyy/mm/dd」で入力してください。
  例）2002/12/24</t>
        </r>
      </text>
    </comment>
    <comment ref="AG4" authorId="0">
      <text>
        <r>
          <rPr>
            <b/>
            <sz val="9"/>
            <color indexed="81"/>
            <rFont val="ＭＳ Ｐゴシック"/>
            <family val="3"/>
            <charset val="128"/>
          </rPr>
          <t>日付は、
「yyyy/mm/dd」で入力してください。
  例）2002/12/24</t>
        </r>
      </text>
    </comment>
    <comment ref="AG5" authorId="0">
      <text>
        <r>
          <rPr>
            <b/>
            <sz val="9"/>
            <color indexed="81"/>
            <rFont val="ＭＳ Ｐゴシック"/>
            <family val="3"/>
            <charset val="128"/>
          </rPr>
          <t>日付は、
「yyyy/mm/dd」で入力してください。
  例）2002/12/24</t>
        </r>
      </text>
    </comment>
    <comment ref="G31" authorId="1">
      <text>
        <r>
          <rPr>
            <b/>
            <sz val="9"/>
            <color indexed="81"/>
            <rFont val="ＭＳ Ｐゴシック"/>
            <family val="3"/>
            <charset val="128"/>
          </rPr>
          <t>手入力</t>
        </r>
      </text>
    </comment>
    <comment ref="O32" authorId="1">
      <text>
        <r>
          <rPr>
            <b/>
            <sz val="9"/>
            <color indexed="81"/>
            <rFont val="ＭＳ Ｐゴシック"/>
            <family val="3"/>
            <charset val="128"/>
          </rPr>
          <t>円貨での発注単価</t>
        </r>
      </text>
    </comment>
    <comment ref="Z32" authorId="1">
      <text>
        <r>
          <rPr>
            <b/>
            <sz val="9"/>
            <color indexed="81"/>
            <rFont val="ＭＳ Ｐゴシック"/>
            <family val="3"/>
            <charset val="128"/>
          </rPr>
          <t>円貨での数量単位を選択</t>
        </r>
      </text>
    </comment>
    <comment ref="AD32" authorId="1">
      <text>
        <r>
          <rPr>
            <b/>
            <sz val="9"/>
            <color indexed="81"/>
            <rFont val="ＭＳ Ｐゴシック"/>
            <family val="3"/>
            <charset val="128"/>
          </rPr>
          <t>円貨合計
（「円貨単価」×「数量」）</t>
        </r>
      </text>
    </comment>
    <comment ref="O33" authorId="1">
      <text>
        <r>
          <rPr>
            <b/>
            <sz val="9"/>
            <color indexed="81"/>
            <rFont val="ＭＳ Ｐゴシック"/>
            <family val="3"/>
            <charset val="128"/>
          </rPr>
          <t>外貨での発注単価を入力</t>
        </r>
      </text>
    </comment>
    <comment ref="X33" authorId="1">
      <text>
        <r>
          <rPr>
            <b/>
            <sz val="9"/>
            <color indexed="81"/>
            <rFont val="ＭＳ Ｐゴシック"/>
            <family val="3"/>
            <charset val="128"/>
          </rPr>
          <t>発注報酬額の数量</t>
        </r>
      </text>
    </comment>
    <comment ref="Z33" authorId="1">
      <text>
        <r>
          <rPr>
            <b/>
            <sz val="9"/>
            <color indexed="81"/>
            <rFont val="ＭＳ Ｐゴシック"/>
            <family val="3"/>
            <charset val="128"/>
          </rPr>
          <t>外貨での数量単位を選択</t>
        </r>
      </text>
    </comment>
    <comment ref="AD33" authorId="1">
      <text>
        <r>
          <rPr>
            <b/>
            <sz val="9"/>
            <color indexed="81"/>
            <rFont val="ＭＳ Ｐゴシック"/>
            <family val="3"/>
            <charset val="128"/>
          </rPr>
          <t>外貨合計
（「外貨単価」×「数量」）</t>
        </r>
      </text>
    </comment>
    <comment ref="O36" authorId="1">
      <text>
        <r>
          <rPr>
            <b/>
            <sz val="9"/>
            <color indexed="81"/>
            <rFont val="ＭＳ Ｐゴシック"/>
            <family val="3"/>
            <charset val="128"/>
          </rPr>
          <t>区分を選択</t>
        </r>
      </text>
    </comment>
    <comment ref="O38" authorId="1">
      <text>
        <r>
          <rPr>
            <b/>
            <sz val="9"/>
            <color indexed="81"/>
            <rFont val="ＭＳ Ｐゴシック"/>
            <family val="3"/>
            <charset val="128"/>
          </rPr>
          <t>支払先を選択</t>
        </r>
      </text>
    </comment>
    <comment ref="O39" authorId="1">
      <text>
        <r>
          <rPr>
            <b/>
            <sz val="9"/>
            <color indexed="81"/>
            <rFont val="ＭＳ Ｐゴシック"/>
            <family val="3"/>
            <charset val="128"/>
          </rPr>
          <t>手入力</t>
        </r>
      </text>
    </comment>
    <comment ref="O41" authorId="1">
      <text>
        <r>
          <rPr>
            <b/>
            <sz val="9"/>
            <color indexed="81"/>
            <rFont val="ＭＳ Ｐゴシック"/>
            <family val="3"/>
            <charset val="128"/>
          </rPr>
          <t>円貨での発注単価</t>
        </r>
      </text>
    </comment>
    <comment ref="Z41" authorId="1">
      <text>
        <r>
          <rPr>
            <b/>
            <sz val="9"/>
            <color indexed="81"/>
            <rFont val="ＭＳ Ｐゴシック"/>
            <family val="3"/>
            <charset val="128"/>
          </rPr>
          <t>円貨での数量単位を選択</t>
        </r>
      </text>
    </comment>
    <comment ref="AD41" authorId="1">
      <text>
        <r>
          <rPr>
            <b/>
            <sz val="9"/>
            <color indexed="81"/>
            <rFont val="ＭＳ Ｐゴシック"/>
            <family val="3"/>
            <charset val="128"/>
          </rPr>
          <t>円貨合計
（「円貨単価」×「数量」）</t>
        </r>
      </text>
    </comment>
    <comment ref="O42" authorId="1">
      <text>
        <r>
          <rPr>
            <b/>
            <sz val="9"/>
            <color indexed="81"/>
            <rFont val="ＭＳ Ｐゴシック"/>
            <family val="3"/>
            <charset val="128"/>
          </rPr>
          <t>外貨での発注単価を入力</t>
        </r>
      </text>
    </comment>
    <comment ref="X42" authorId="1">
      <text>
        <r>
          <rPr>
            <b/>
            <sz val="9"/>
            <color indexed="81"/>
            <rFont val="ＭＳ Ｐゴシック"/>
            <family val="3"/>
            <charset val="128"/>
          </rPr>
          <t>日当の数量</t>
        </r>
      </text>
    </comment>
    <comment ref="Z42" authorId="1">
      <text>
        <r>
          <rPr>
            <b/>
            <sz val="9"/>
            <color indexed="81"/>
            <rFont val="ＭＳ Ｐゴシック"/>
            <family val="3"/>
            <charset val="128"/>
          </rPr>
          <t>外貨での数量単位を選択</t>
        </r>
      </text>
    </comment>
    <comment ref="AD42" authorId="1">
      <text>
        <r>
          <rPr>
            <b/>
            <sz val="9"/>
            <color indexed="81"/>
            <rFont val="ＭＳ Ｐゴシック"/>
            <family val="3"/>
            <charset val="128"/>
          </rPr>
          <t>外貨合計
（「外貨単価」×「数量」）</t>
        </r>
      </text>
    </comment>
    <comment ref="O44" authorId="1">
      <text>
        <r>
          <rPr>
            <b/>
            <sz val="9"/>
            <color indexed="81"/>
            <rFont val="ＭＳ Ｐゴシック"/>
            <family val="3"/>
            <charset val="128"/>
          </rPr>
          <t>区分を選択</t>
        </r>
      </text>
    </comment>
    <comment ref="O46" authorId="1">
      <text>
        <r>
          <rPr>
            <b/>
            <sz val="9"/>
            <color indexed="81"/>
            <rFont val="ＭＳ Ｐゴシック"/>
            <family val="3"/>
            <charset val="128"/>
          </rPr>
          <t>支払先を選択</t>
        </r>
      </text>
    </comment>
    <comment ref="O47" authorId="1">
      <text>
        <r>
          <rPr>
            <b/>
            <sz val="9"/>
            <color indexed="81"/>
            <rFont val="ＭＳ Ｐゴシック"/>
            <family val="3"/>
            <charset val="128"/>
          </rPr>
          <t>手入力</t>
        </r>
      </text>
    </comment>
    <comment ref="O49" authorId="1">
      <text>
        <r>
          <rPr>
            <b/>
            <sz val="9"/>
            <color indexed="81"/>
            <rFont val="ＭＳ Ｐゴシック"/>
            <family val="3"/>
            <charset val="128"/>
          </rPr>
          <t>円貨での発注単価</t>
        </r>
      </text>
    </comment>
    <comment ref="Z49" authorId="1">
      <text>
        <r>
          <rPr>
            <b/>
            <sz val="9"/>
            <color indexed="81"/>
            <rFont val="ＭＳ Ｐゴシック"/>
            <family val="3"/>
            <charset val="128"/>
          </rPr>
          <t>円貨での数量単位を選択</t>
        </r>
      </text>
    </comment>
    <comment ref="AD49" authorId="1">
      <text>
        <r>
          <rPr>
            <b/>
            <sz val="9"/>
            <color indexed="81"/>
            <rFont val="ＭＳ Ｐゴシック"/>
            <family val="3"/>
            <charset val="128"/>
          </rPr>
          <t>円貨合計
（「円貨単価」×「数量」）</t>
        </r>
      </text>
    </comment>
    <comment ref="O50" authorId="1">
      <text>
        <r>
          <rPr>
            <b/>
            <sz val="9"/>
            <color indexed="81"/>
            <rFont val="ＭＳ Ｐゴシック"/>
            <family val="3"/>
            <charset val="128"/>
          </rPr>
          <t>外貨での発注単価を入力</t>
        </r>
      </text>
    </comment>
    <comment ref="X50" authorId="1">
      <text>
        <r>
          <rPr>
            <b/>
            <sz val="9"/>
            <color indexed="81"/>
            <rFont val="ＭＳ Ｐゴシック"/>
            <family val="3"/>
            <charset val="128"/>
          </rPr>
          <t>宿泊費の数量</t>
        </r>
      </text>
    </comment>
    <comment ref="Z50" authorId="1">
      <text>
        <r>
          <rPr>
            <b/>
            <sz val="9"/>
            <color indexed="81"/>
            <rFont val="ＭＳ Ｐゴシック"/>
            <family val="3"/>
            <charset val="128"/>
          </rPr>
          <t>外貨での数量単位を選択</t>
        </r>
      </text>
    </comment>
    <comment ref="AD50" authorId="1">
      <text>
        <r>
          <rPr>
            <b/>
            <sz val="9"/>
            <color indexed="81"/>
            <rFont val="ＭＳ Ｐゴシック"/>
            <family val="3"/>
            <charset val="128"/>
          </rPr>
          <t>外貨合計
（「外貨単価」×「数量」）</t>
        </r>
      </text>
    </comment>
    <comment ref="H53" authorId="1">
      <text>
        <r>
          <rPr>
            <b/>
            <sz val="9"/>
            <color indexed="81"/>
            <rFont val="ＭＳ Ｐゴシック"/>
            <family val="3"/>
            <charset val="128"/>
          </rPr>
          <t>航空券区分を選択</t>
        </r>
      </text>
    </comment>
    <comment ref="K54" authorId="1">
      <text>
        <r>
          <rPr>
            <b/>
            <sz val="9"/>
            <color indexed="81"/>
            <rFont val="ＭＳ Ｐゴシック"/>
            <family val="3"/>
            <charset val="128"/>
          </rPr>
          <t>手入力</t>
        </r>
      </text>
    </comment>
    <comment ref="K55" authorId="0">
      <text>
        <r>
          <rPr>
            <b/>
            <sz val="9"/>
            <color indexed="81"/>
            <rFont val="ＭＳ Ｐゴシック"/>
            <family val="3"/>
            <charset val="128"/>
          </rPr>
          <t>航空券クラスを選択</t>
        </r>
      </text>
    </comment>
    <comment ref="M56" authorId="0">
      <text>
        <r>
          <rPr>
            <b/>
            <sz val="9"/>
            <color indexed="81"/>
            <rFont val="ＭＳ Ｐゴシック"/>
            <family val="3"/>
            <charset val="128"/>
          </rPr>
          <t>ルートを手入力</t>
        </r>
      </text>
    </comment>
    <comment ref="M57" authorId="0">
      <text>
        <r>
          <rPr>
            <b/>
            <sz val="9"/>
            <color indexed="81"/>
            <rFont val="ＭＳ Ｐゴシック"/>
            <family val="3"/>
            <charset val="128"/>
          </rPr>
          <t>備考を手入力</t>
        </r>
      </text>
    </comment>
    <comment ref="S58" authorId="1">
      <text>
        <r>
          <rPr>
            <b/>
            <sz val="9"/>
            <color indexed="81"/>
            <rFont val="ＭＳ Ｐゴシック"/>
            <family val="3"/>
            <charset val="128"/>
          </rPr>
          <t>回数を入力</t>
        </r>
      </text>
    </comment>
    <comment ref="Z58" authorId="1">
      <text>
        <r>
          <rPr>
            <b/>
            <sz val="9"/>
            <color indexed="81"/>
            <rFont val="ＭＳ Ｐゴシック"/>
            <family val="3"/>
            <charset val="128"/>
          </rPr>
          <t>回数を入力</t>
        </r>
      </text>
    </comment>
    <comment ref="H60" authorId="0">
      <text>
        <r>
          <rPr>
            <b/>
            <sz val="9"/>
            <color indexed="81"/>
            <rFont val="ＭＳ Ｐゴシック"/>
            <family val="3"/>
            <charset val="128"/>
          </rPr>
          <t>海外旅行傷害保険を選択</t>
        </r>
      </text>
    </comment>
    <comment ref="D65" authorId="2">
      <text>
        <r>
          <rPr>
            <b/>
            <sz val="9"/>
            <color indexed="81"/>
            <rFont val="ＭＳ Ｐゴシック"/>
            <family val="3"/>
            <charset val="128"/>
          </rPr>
          <t>使用目的を手入力</t>
        </r>
      </text>
    </comment>
    <comment ref="O66" authorId="1">
      <text>
        <r>
          <rPr>
            <b/>
            <sz val="9"/>
            <color indexed="81"/>
            <rFont val="ＭＳ Ｐゴシック"/>
            <family val="3"/>
            <charset val="128"/>
          </rPr>
          <t>円貨での発注単価</t>
        </r>
      </text>
    </comment>
    <comment ref="Z66" authorId="1">
      <text>
        <r>
          <rPr>
            <b/>
            <sz val="9"/>
            <color indexed="81"/>
            <rFont val="ＭＳ Ｐゴシック"/>
            <family val="3"/>
            <charset val="128"/>
          </rPr>
          <t>円貨での数量単位を選択</t>
        </r>
      </text>
    </comment>
    <comment ref="AD66" authorId="1">
      <text>
        <r>
          <rPr>
            <b/>
            <sz val="9"/>
            <color indexed="81"/>
            <rFont val="ＭＳ Ｐゴシック"/>
            <family val="3"/>
            <charset val="128"/>
          </rPr>
          <t>円貨合計
（「円貨単価」×「数量」）</t>
        </r>
      </text>
    </comment>
    <comment ref="O67" authorId="1">
      <text>
        <r>
          <rPr>
            <b/>
            <sz val="9"/>
            <color indexed="81"/>
            <rFont val="ＭＳ Ｐゴシック"/>
            <family val="3"/>
            <charset val="128"/>
          </rPr>
          <t>外貨での発注単価を入力</t>
        </r>
      </text>
    </comment>
    <comment ref="X67" authorId="1">
      <text>
        <r>
          <rPr>
            <b/>
            <sz val="9"/>
            <color indexed="81"/>
            <rFont val="ＭＳ Ｐゴシック"/>
            <family val="3"/>
            <charset val="128"/>
          </rPr>
          <t>その他経費数量</t>
        </r>
      </text>
    </comment>
    <comment ref="Z67" authorId="1">
      <text>
        <r>
          <rPr>
            <b/>
            <sz val="9"/>
            <color indexed="81"/>
            <rFont val="ＭＳ Ｐゴシック"/>
            <family val="3"/>
            <charset val="128"/>
          </rPr>
          <t>外貨での数量単位を選択</t>
        </r>
      </text>
    </comment>
    <comment ref="AD67" authorId="1">
      <text>
        <r>
          <rPr>
            <b/>
            <sz val="9"/>
            <color indexed="81"/>
            <rFont val="ＭＳ Ｐゴシック"/>
            <family val="3"/>
            <charset val="128"/>
          </rPr>
          <t>外貨合計
（「外貨単価」×「数量」）</t>
        </r>
      </text>
    </comment>
    <comment ref="D70" authorId="2">
      <text>
        <r>
          <rPr>
            <b/>
            <sz val="9"/>
            <color indexed="81"/>
            <rFont val="ＭＳ Ｐゴシック"/>
            <family val="3"/>
            <charset val="128"/>
          </rPr>
          <t>使用目的を手入力</t>
        </r>
      </text>
    </comment>
    <comment ref="O71" authorId="1">
      <text>
        <r>
          <rPr>
            <b/>
            <sz val="9"/>
            <color indexed="81"/>
            <rFont val="ＭＳ Ｐゴシック"/>
            <family val="3"/>
            <charset val="128"/>
          </rPr>
          <t>円貨での発注単価</t>
        </r>
      </text>
    </comment>
    <comment ref="Z71" authorId="1">
      <text>
        <r>
          <rPr>
            <b/>
            <sz val="9"/>
            <color indexed="81"/>
            <rFont val="ＭＳ Ｐゴシック"/>
            <family val="3"/>
            <charset val="128"/>
          </rPr>
          <t>円貨での数量単位を選択</t>
        </r>
      </text>
    </comment>
    <comment ref="AD71" authorId="1">
      <text>
        <r>
          <rPr>
            <b/>
            <sz val="9"/>
            <color indexed="81"/>
            <rFont val="ＭＳ Ｐゴシック"/>
            <family val="3"/>
            <charset val="128"/>
          </rPr>
          <t>円貨合計
（「円貨単価」×「数量」）</t>
        </r>
      </text>
    </comment>
    <comment ref="O72" authorId="1">
      <text>
        <r>
          <rPr>
            <b/>
            <sz val="9"/>
            <color indexed="81"/>
            <rFont val="ＭＳ Ｐゴシック"/>
            <family val="3"/>
            <charset val="128"/>
          </rPr>
          <t>外貨での発注単価を入力</t>
        </r>
      </text>
    </comment>
    <comment ref="X72" authorId="1">
      <text>
        <r>
          <rPr>
            <b/>
            <sz val="9"/>
            <color indexed="81"/>
            <rFont val="ＭＳ Ｐゴシック"/>
            <family val="3"/>
            <charset val="128"/>
          </rPr>
          <t>その他経費数量</t>
        </r>
      </text>
    </comment>
    <comment ref="Z72" authorId="1">
      <text>
        <r>
          <rPr>
            <b/>
            <sz val="9"/>
            <color indexed="81"/>
            <rFont val="ＭＳ Ｐゴシック"/>
            <family val="3"/>
            <charset val="128"/>
          </rPr>
          <t>外貨での数量単位を選択</t>
        </r>
      </text>
    </comment>
    <comment ref="AD72" authorId="1">
      <text>
        <r>
          <rPr>
            <b/>
            <sz val="9"/>
            <color indexed="81"/>
            <rFont val="ＭＳ Ｐゴシック"/>
            <family val="3"/>
            <charset val="128"/>
          </rPr>
          <t>外貨合計
（「外貨単価」×「数量」）</t>
        </r>
      </text>
    </comment>
    <comment ref="D75" authorId="2">
      <text>
        <r>
          <rPr>
            <b/>
            <sz val="9"/>
            <color indexed="81"/>
            <rFont val="ＭＳ Ｐゴシック"/>
            <family val="3"/>
            <charset val="128"/>
          </rPr>
          <t>使用目的を手入力</t>
        </r>
      </text>
    </comment>
    <comment ref="O76" authorId="1">
      <text>
        <r>
          <rPr>
            <b/>
            <sz val="9"/>
            <color indexed="81"/>
            <rFont val="ＭＳ Ｐゴシック"/>
            <family val="3"/>
            <charset val="128"/>
          </rPr>
          <t>円貨での発注単価</t>
        </r>
      </text>
    </comment>
    <comment ref="Z76" authorId="1">
      <text>
        <r>
          <rPr>
            <b/>
            <sz val="9"/>
            <color indexed="81"/>
            <rFont val="ＭＳ Ｐゴシック"/>
            <family val="3"/>
            <charset val="128"/>
          </rPr>
          <t>円貨での数量単位を選択</t>
        </r>
      </text>
    </comment>
    <comment ref="AD76" authorId="1">
      <text>
        <r>
          <rPr>
            <b/>
            <sz val="9"/>
            <color indexed="81"/>
            <rFont val="ＭＳ Ｐゴシック"/>
            <family val="3"/>
            <charset val="128"/>
          </rPr>
          <t>円貨合計
（「円貨単価」×「数量」）</t>
        </r>
      </text>
    </comment>
    <comment ref="O77" authorId="1">
      <text>
        <r>
          <rPr>
            <b/>
            <sz val="9"/>
            <color indexed="81"/>
            <rFont val="ＭＳ Ｐゴシック"/>
            <family val="3"/>
            <charset val="128"/>
          </rPr>
          <t>外貨での発注単価を入力</t>
        </r>
      </text>
    </comment>
    <comment ref="X77" authorId="1">
      <text>
        <r>
          <rPr>
            <b/>
            <sz val="9"/>
            <color indexed="81"/>
            <rFont val="ＭＳ Ｐゴシック"/>
            <family val="3"/>
            <charset val="128"/>
          </rPr>
          <t>その他経費数量</t>
        </r>
      </text>
    </comment>
    <comment ref="Z77" authorId="1">
      <text>
        <r>
          <rPr>
            <b/>
            <sz val="9"/>
            <color indexed="81"/>
            <rFont val="ＭＳ Ｐゴシック"/>
            <family val="3"/>
            <charset val="128"/>
          </rPr>
          <t>外貨での数量単位を選択</t>
        </r>
      </text>
    </comment>
    <comment ref="AD77" authorId="1">
      <text>
        <r>
          <rPr>
            <b/>
            <sz val="9"/>
            <color indexed="81"/>
            <rFont val="ＭＳ Ｐゴシック"/>
            <family val="3"/>
            <charset val="128"/>
          </rPr>
          <t>外貨合計
（「外貨単価」×「数量」）</t>
        </r>
      </text>
    </comment>
    <comment ref="H147" authorId="0">
      <text>
        <r>
          <rPr>
            <b/>
            <sz val="9"/>
            <color indexed="81"/>
            <rFont val="ＭＳ Ｐゴシック"/>
            <family val="3"/>
            <charset val="128"/>
          </rPr>
          <t>必要な場合は、入力して下さい。</t>
        </r>
      </text>
    </comment>
    <comment ref="H148" authorId="0">
      <text>
        <r>
          <rPr>
            <b/>
            <sz val="9"/>
            <color indexed="81"/>
            <rFont val="ＭＳ Ｐゴシック"/>
            <family val="3"/>
            <charset val="128"/>
          </rPr>
          <t>発注時のログインユーザーになります。</t>
        </r>
      </text>
    </comment>
    <comment ref="P150" authorId="0">
      <text>
        <r>
          <rPr>
            <b/>
            <sz val="9"/>
            <color indexed="81"/>
            <rFont val="ＭＳ Ｐゴシック"/>
            <family val="3"/>
            <charset val="128"/>
          </rPr>
          <t>発注時に確定した情報を設定します。</t>
        </r>
      </text>
    </comment>
    <comment ref="H157" authorId="0">
      <text>
        <r>
          <rPr>
            <b/>
            <sz val="9"/>
            <color indexed="81"/>
            <rFont val="ＭＳ Ｐゴシック"/>
            <family val="3"/>
            <charset val="128"/>
          </rPr>
          <t>特記事項があれば、入力して下さい。</t>
        </r>
      </text>
    </comment>
  </commentList>
</comments>
</file>

<file path=xl/sharedStrings.xml><?xml version="1.0" encoding="utf-8"?>
<sst xmlns="http://schemas.openxmlformats.org/spreadsheetml/2006/main" count="1693" uniqueCount="788">
  <si>
    <t>）</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</si>
  <si>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</si>
  <si>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</si>
  <si>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</si>
  <si>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</si>
  <si>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</si>
  <si>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</si>
  <si>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</si>
  <si>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</si>
  <si>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</si>
  <si>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</si>
  <si>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A</t>
    <phoneticPr fontId="2"/>
  </si>
  <si>
    <t>C</t>
    <phoneticPr fontId="2"/>
  </si>
  <si>
    <t>E</t>
    <phoneticPr fontId="2"/>
  </si>
  <si>
    <t>F</t>
    <phoneticPr fontId="2"/>
  </si>
  <si>
    <t>G</t>
    <phoneticPr fontId="2"/>
  </si>
  <si>
    <t>H1</t>
    <phoneticPr fontId="2"/>
  </si>
  <si>
    <t>B</t>
    <phoneticPr fontId="2"/>
  </si>
  <si>
    <t>B</t>
    <phoneticPr fontId="2"/>
  </si>
  <si>
    <t>A</t>
    <phoneticPr fontId="2"/>
  </si>
  <si>
    <t>F</t>
    <phoneticPr fontId="2"/>
  </si>
  <si>
    <t>B</t>
    <phoneticPr fontId="2"/>
  </si>
  <si>
    <t>C</t>
    <phoneticPr fontId="2"/>
  </si>
  <si>
    <t>D</t>
    <phoneticPr fontId="2"/>
  </si>
  <si>
    <t>E</t>
    <phoneticPr fontId="2"/>
  </si>
  <si>
    <t>C</t>
    <phoneticPr fontId="2"/>
  </si>
  <si>
    <t>D</t>
    <phoneticPr fontId="2"/>
  </si>
  <si>
    <t>E</t>
    <phoneticPr fontId="2"/>
  </si>
  <si>
    <t>通貨</t>
    <rPh sb="0" eb="2">
      <t>ツウカ</t>
    </rPh>
    <phoneticPr fontId="2"/>
  </si>
  <si>
    <t>月</t>
    <rPh sb="0" eb="1">
      <t>ツキ</t>
    </rPh>
    <phoneticPr fontId="2"/>
  </si>
  <si>
    <t>日</t>
    <rPh sb="0" eb="1">
      <t>ニチ</t>
    </rPh>
    <phoneticPr fontId="2"/>
  </si>
  <si>
    <t>時間</t>
    <rPh sb="0" eb="2">
      <t>ジカン</t>
    </rPh>
    <phoneticPr fontId="2"/>
  </si>
  <si>
    <t>単位１</t>
    <rPh sb="0" eb="2">
      <t>タンイ</t>
    </rPh>
    <phoneticPr fontId="2"/>
  </si>
  <si>
    <t>単位２</t>
    <rPh sb="0" eb="2">
      <t>タンイ</t>
    </rPh>
    <phoneticPr fontId="2"/>
  </si>
  <si>
    <t>外人契約交渉状況</t>
    <rPh sb="0" eb="2">
      <t>ガイジン</t>
    </rPh>
    <rPh sb="2" eb="4">
      <t>ケイヤク</t>
    </rPh>
    <rPh sb="4" eb="6">
      <t>コウショウ</t>
    </rPh>
    <rPh sb="6" eb="8">
      <t>ジョウキョウ</t>
    </rPh>
    <phoneticPr fontId="2"/>
  </si>
  <si>
    <t>以下の条件で合意済</t>
    <rPh sb="0" eb="2">
      <t>イカ</t>
    </rPh>
    <rPh sb="3" eb="5">
      <t>ジョウケン</t>
    </rPh>
    <rPh sb="6" eb="8">
      <t>ゴウイ</t>
    </rPh>
    <rPh sb="8" eb="9">
      <t>ス</t>
    </rPh>
    <phoneticPr fontId="2"/>
  </si>
  <si>
    <t>M/M</t>
    <phoneticPr fontId="2"/>
  </si>
  <si>
    <t>M/D</t>
    <phoneticPr fontId="2"/>
  </si>
  <si>
    <t>以下の通り支給</t>
    <rPh sb="0" eb="2">
      <t>イカ</t>
    </rPh>
    <rPh sb="3" eb="4">
      <t>トオ</t>
    </rPh>
    <rPh sb="5" eb="7">
      <t>シキュウ</t>
    </rPh>
    <phoneticPr fontId="2"/>
  </si>
  <si>
    <t>支給しない</t>
    <rPh sb="0" eb="2">
      <t>シキュウ</t>
    </rPh>
    <phoneticPr fontId="2"/>
  </si>
  <si>
    <t>JICA規定額を以下の通り支給</t>
    <rPh sb="4" eb="6">
      <t>キテイ</t>
    </rPh>
    <rPh sb="6" eb="7">
      <t>ガク</t>
    </rPh>
    <rPh sb="8" eb="10">
      <t>イカ</t>
    </rPh>
    <rPh sb="11" eb="12">
      <t>トオ</t>
    </rPh>
    <rPh sb="13" eb="15">
      <t>シキュウ</t>
    </rPh>
    <phoneticPr fontId="2"/>
  </si>
  <si>
    <t>社員に準じて以下の通り支給</t>
    <rPh sb="0" eb="2">
      <t>シャイン</t>
    </rPh>
    <rPh sb="3" eb="4">
      <t>ジュン</t>
    </rPh>
    <rPh sb="6" eb="8">
      <t>イカ</t>
    </rPh>
    <rPh sb="9" eb="10">
      <t>トオ</t>
    </rPh>
    <rPh sb="11" eb="13">
      <t>シキュウ</t>
    </rPh>
    <phoneticPr fontId="2"/>
  </si>
  <si>
    <t>日当区分</t>
    <rPh sb="0" eb="2">
      <t>ニットウ</t>
    </rPh>
    <rPh sb="2" eb="4">
      <t>クブン</t>
    </rPh>
    <phoneticPr fontId="2"/>
  </si>
  <si>
    <t>日当支給方法</t>
    <rPh sb="0" eb="2">
      <t>ニットウ</t>
    </rPh>
    <rPh sb="2" eb="4">
      <t>シキュウ</t>
    </rPh>
    <rPh sb="4" eb="6">
      <t>ホウホウ</t>
    </rPh>
    <phoneticPr fontId="2"/>
  </si>
  <si>
    <t>日当支払先</t>
    <rPh sb="0" eb="2">
      <t>ニットウ</t>
    </rPh>
    <rPh sb="2" eb="4">
      <t>シハライ</t>
    </rPh>
    <rPh sb="4" eb="5">
      <t>サキ</t>
    </rPh>
    <phoneticPr fontId="2"/>
  </si>
  <si>
    <t>円貨</t>
    <rPh sb="0" eb="2">
      <t>エンカ</t>
    </rPh>
    <phoneticPr fontId="2"/>
  </si>
  <si>
    <t>外貨</t>
    <rPh sb="0" eb="2">
      <t>ガイカ</t>
    </rPh>
    <phoneticPr fontId="2"/>
  </si>
  <si>
    <t>会社振込</t>
    <rPh sb="0" eb="2">
      <t>カイシャ</t>
    </rPh>
    <rPh sb="2" eb="4">
      <t>フリコ</t>
    </rPh>
    <phoneticPr fontId="2"/>
  </si>
  <si>
    <t>本人へ支払</t>
    <rPh sb="0" eb="2">
      <t>ホンニン</t>
    </rPh>
    <rPh sb="3" eb="5">
      <t>シハライ</t>
    </rPh>
    <phoneticPr fontId="2"/>
  </si>
  <si>
    <t>宿泊費区分</t>
    <rPh sb="0" eb="3">
      <t>シュクハクヒ</t>
    </rPh>
    <rPh sb="3" eb="5">
      <t>クブン</t>
    </rPh>
    <phoneticPr fontId="2"/>
  </si>
  <si>
    <t>宿泊費支給方法</t>
    <rPh sb="0" eb="3">
      <t>シュクハクヒ</t>
    </rPh>
    <rPh sb="3" eb="5">
      <t>シキュウ</t>
    </rPh>
    <rPh sb="5" eb="7">
      <t>ホウホウ</t>
    </rPh>
    <phoneticPr fontId="2"/>
  </si>
  <si>
    <t>宿泊費支払先</t>
    <rPh sb="0" eb="3">
      <t>シュクハクヒ</t>
    </rPh>
    <rPh sb="3" eb="5">
      <t>シハライ</t>
    </rPh>
    <rPh sb="5" eb="6">
      <t>サキ</t>
    </rPh>
    <phoneticPr fontId="2"/>
  </si>
  <si>
    <t>JICA規定額を支給</t>
    <rPh sb="4" eb="6">
      <t>キテイ</t>
    </rPh>
    <rPh sb="6" eb="7">
      <t>ガク</t>
    </rPh>
    <rPh sb="8" eb="10">
      <t>シキュウ</t>
    </rPh>
    <phoneticPr fontId="2"/>
  </si>
  <si>
    <t>社員に準じて支給</t>
    <rPh sb="0" eb="2">
      <t>シャイン</t>
    </rPh>
    <rPh sb="3" eb="4">
      <t>ジュン</t>
    </rPh>
    <rPh sb="6" eb="8">
      <t>シキュウ</t>
    </rPh>
    <phoneticPr fontId="2"/>
  </si>
  <si>
    <t>支給しないが宿舎提供</t>
    <rPh sb="0" eb="2">
      <t>シキュウ</t>
    </rPh>
    <rPh sb="6" eb="8">
      <t>シュクシャ</t>
    </rPh>
    <rPh sb="8" eb="10">
      <t>テイキョウ</t>
    </rPh>
    <phoneticPr fontId="2"/>
  </si>
  <si>
    <t>航空券</t>
    <rPh sb="0" eb="3">
      <t>コウクウケン</t>
    </rPh>
    <phoneticPr fontId="2"/>
  </si>
  <si>
    <t>航空券支給方法</t>
    <rPh sb="0" eb="3">
      <t>コウクウケン</t>
    </rPh>
    <rPh sb="3" eb="5">
      <t>シキュウ</t>
    </rPh>
    <rPh sb="5" eb="7">
      <t>ホウホウ</t>
    </rPh>
    <phoneticPr fontId="2"/>
  </si>
  <si>
    <t>ＮＫ本社にて支給</t>
    <rPh sb="2" eb="4">
      <t>ホンシャ</t>
    </rPh>
    <rPh sb="6" eb="8">
      <t>シキュウ</t>
    </rPh>
    <phoneticPr fontId="2"/>
  </si>
  <si>
    <t>その他（その他に記入）</t>
    <rPh sb="2" eb="3">
      <t>タ</t>
    </rPh>
    <rPh sb="6" eb="7">
      <t>タ</t>
    </rPh>
    <rPh sb="8" eb="10">
      <t>キニュウ</t>
    </rPh>
    <phoneticPr fontId="2"/>
  </si>
  <si>
    <t>その他経費支給方法</t>
    <rPh sb="2" eb="3">
      <t>タ</t>
    </rPh>
    <rPh sb="3" eb="5">
      <t>ケイヒ</t>
    </rPh>
    <rPh sb="5" eb="7">
      <t>シキュウ</t>
    </rPh>
    <rPh sb="7" eb="9">
      <t>ホウホウ</t>
    </rPh>
    <phoneticPr fontId="2"/>
  </si>
  <si>
    <t>海外旅行傷害保険</t>
    <rPh sb="0" eb="2">
      <t>カイガイ</t>
    </rPh>
    <rPh sb="2" eb="4">
      <t>リョコウ</t>
    </rPh>
    <rPh sb="4" eb="6">
      <t>ショウガイ</t>
    </rPh>
    <rPh sb="6" eb="8">
      <t>ホケン</t>
    </rPh>
    <phoneticPr fontId="2"/>
  </si>
  <si>
    <t>ＮＫ付保</t>
    <rPh sb="2" eb="4">
      <t>フホ</t>
    </rPh>
    <phoneticPr fontId="2"/>
  </si>
  <si>
    <t>ＮＫ負担で相手先付保</t>
    <rPh sb="2" eb="4">
      <t>フタン</t>
    </rPh>
    <rPh sb="5" eb="8">
      <t>アイテサキ</t>
    </rPh>
    <rPh sb="8" eb="10">
      <t>フホ</t>
    </rPh>
    <phoneticPr fontId="2"/>
  </si>
  <si>
    <t>相手先負担、相手先付保</t>
    <rPh sb="0" eb="3">
      <t>アイテサキ</t>
    </rPh>
    <rPh sb="3" eb="5">
      <t>フタン</t>
    </rPh>
    <rPh sb="6" eb="9">
      <t>アイテサキ</t>
    </rPh>
    <rPh sb="9" eb="11">
      <t>フホ</t>
    </rPh>
    <phoneticPr fontId="2"/>
  </si>
  <si>
    <t>居住区分</t>
    <rPh sb="0" eb="2">
      <t>キョジュウ</t>
    </rPh>
    <rPh sb="2" eb="4">
      <t>クブン</t>
    </rPh>
    <phoneticPr fontId="2"/>
  </si>
  <si>
    <t>居住</t>
    <rPh sb="0" eb="2">
      <t>キョジュウ</t>
    </rPh>
    <phoneticPr fontId="2"/>
  </si>
  <si>
    <t>非居住</t>
    <rPh sb="0" eb="1">
      <t>ヒ</t>
    </rPh>
    <rPh sb="1" eb="3">
      <t>キョジュウ</t>
    </rPh>
    <phoneticPr fontId="2"/>
  </si>
  <si>
    <t>居住扱</t>
    <rPh sb="0" eb="2">
      <t>キョジュウ</t>
    </rPh>
    <rPh sb="2" eb="3">
      <t>アツカ</t>
    </rPh>
    <phoneticPr fontId="2"/>
  </si>
  <si>
    <t>源泉税徴収</t>
    <rPh sb="0" eb="2">
      <t>ゲンセン</t>
    </rPh>
    <rPh sb="2" eb="3">
      <t>ゼイ</t>
    </rPh>
    <rPh sb="3" eb="5">
      <t>チョウシュウ</t>
    </rPh>
    <phoneticPr fontId="2"/>
  </si>
  <si>
    <t>対象</t>
    <rPh sb="0" eb="2">
      <t>タイショウ</t>
    </rPh>
    <phoneticPr fontId="2"/>
  </si>
  <si>
    <t>対象外</t>
  </si>
  <si>
    <t>対象外</t>
    <rPh sb="0" eb="3">
      <t>タイショウガイ</t>
    </rPh>
    <phoneticPr fontId="2"/>
  </si>
  <si>
    <t>作成日</t>
    <rPh sb="0" eb="2">
      <t>サクセイ</t>
    </rPh>
    <rPh sb="2" eb="3">
      <t>ビ</t>
    </rPh>
    <phoneticPr fontId="2"/>
  </si>
  <si>
    <t>決裁日</t>
    <rPh sb="0" eb="2">
      <t>ケッサイ</t>
    </rPh>
    <rPh sb="2" eb="3">
      <t>ビ</t>
    </rPh>
    <phoneticPr fontId="2"/>
  </si>
  <si>
    <t>（要員借上用）</t>
    <rPh sb="1" eb="3">
      <t>ヨウイン</t>
    </rPh>
    <rPh sb="3" eb="5">
      <t>カリア</t>
    </rPh>
    <rPh sb="5" eb="6">
      <t>ヨウ</t>
    </rPh>
    <phoneticPr fontId="2"/>
  </si>
  <si>
    <t>業務部長殿</t>
    <rPh sb="0" eb="2">
      <t>ギョウム</t>
    </rPh>
    <rPh sb="2" eb="4">
      <t>ブチョウ</t>
    </rPh>
    <rPh sb="4" eb="5">
      <t>トノ</t>
    </rPh>
    <phoneticPr fontId="2"/>
  </si>
  <si>
    <t>受注B/R</t>
    <rPh sb="0" eb="2">
      <t>ジュチュウ</t>
    </rPh>
    <phoneticPr fontId="2"/>
  </si>
  <si>
    <t>（和文）</t>
    <rPh sb="1" eb="3">
      <t>ワブン</t>
    </rPh>
    <phoneticPr fontId="2"/>
  </si>
  <si>
    <t>発注B/R</t>
    <rPh sb="0" eb="2">
      <t>ハッチュウ</t>
    </rPh>
    <phoneticPr fontId="2"/>
  </si>
  <si>
    <t>（英文）</t>
    <rPh sb="1" eb="3">
      <t>エイブン</t>
    </rPh>
    <phoneticPr fontId="2"/>
  </si>
  <si>
    <t>発注率</t>
    <rPh sb="0" eb="2">
      <t>ハッチュウ</t>
    </rPh>
    <rPh sb="2" eb="3">
      <t>リツ</t>
    </rPh>
    <phoneticPr fontId="2"/>
  </si>
  <si>
    <t>原契約契約日</t>
    <rPh sb="0" eb="1">
      <t>ゲン</t>
    </rPh>
    <rPh sb="1" eb="3">
      <t>ケイヤク</t>
    </rPh>
    <rPh sb="3" eb="6">
      <t>ケイヤクビ</t>
    </rPh>
    <phoneticPr fontId="2"/>
  </si>
  <si>
    <t>作業科目</t>
    <rPh sb="0" eb="2">
      <t>サギョウ</t>
    </rPh>
    <rPh sb="2" eb="4">
      <t>カモク</t>
    </rPh>
    <phoneticPr fontId="2"/>
  </si>
  <si>
    <t>発注条件</t>
    <rPh sb="0" eb="2">
      <t>ハッチュウ</t>
    </rPh>
    <rPh sb="2" eb="4">
      <t>ジョウケン</t>
    </rPh>
    <phoneticPr fontId="2"/>
  </si>
  <si>
    <t>受注先および資金源</t>
    <rPh sb="0" eb="2">
      <t>ジュチュウ</t>
    </rPh>
    <rPh sb="2" eb="3">
      <t>サキ</t>
    </rPh>
    <rPh sb="6" eb="9">
      <t>シキンゲン</t>
    </rPh>
    <phoneticPr fontId="2"/>
  </si>
  <si>
    <t>契約形態</t>
    <rPh sb="0" eb="2">
      <t>ケイヤク</t>
    </rPh>
    <rPh sb="2" eb="4">
      <t>ケイタイ</t>
    </rPh>
    <phoneticPr fontId="2"/>
  </si>
  <si>
    <t>予算措置</t>
    <rPh sb="0" eb="2">
      <t>ヨサン</t>
    </rPh>
    <rPh sb="2" eb="4">
      <t>ソチ</t>
    </rPh>
    <phoneticPr fontId="2"/>
  </si>
  <si>
    <t>作業内容</t>
    <rPh sb="0" eb="2">
      <t>サギョウ</t>
    </rPh>
    <rPh sb="2" eb="4">
      <t>ナイヨウ</t>
    </rPh>
    <phoneticPr fontId="2"/>
  </si>
  <si>
    <t>発注報酬額</t>
    <rPh sb="0" eb="2">
      <t>ハッチュウ</t>
    </rPh>
    <rPh sb="2" eb="4">
      <t>ホウシュウ</t>
    </rPh>
    <rPh sb="4" eb="5">
      <t>ガク</t>
    </rPh>
    <phoneticPr fontId="2"/>
  </si>
  <si>
    <t>X</t>
    <phoneticPr fontId="2"/>
  </si>
  <si>
    <t>=</t>
    <phoneticPr fontId="2"/>
  </si>
  <si>
    <t>選定業者名</t>
    <rPh sb="0" eb="2">
      <t>センテイ</t>
    </rPh>
    <rPh sb="2" eb="4">
      <t>ギョウシャ</t>
    </rPh>
    <rPh sb="4" eb="5">
      <t>メイ</t>
    </rPh>
    <phoneticPr fontId="2"/>
  </si>
  <si>
    <t>選定外注業者ｺｰﾄﾞ</t>
    <rPh sb="0" eb="2">
      <t>センテイ</t>
    </rPh>
    <rPh sb="2" eb="4">
      <t>ガイチュウ</t>
    </rPh>
    <rPh sb="4" eb="6">
      <t>ギョウシャ</t>
    </rPh>
    <phoneticPr fontId="2"/>
  </si>
  <si>
    <t>日当</t>
    <rPh sb="0" eb="2">
      <t>ニットウ</t>
    </rPh>
    <phoneticPr fontId="2"/>
  </si>
  <si>
    <t>1. 区分</t>
    <rPh sb="3" eb="5">
      <t>クブン</t>
    </rPh>
    <phoneticPr fontId="2"/>
  </si>
  <si>
    <t>担当業務</t>
    <rPh sb="0" eb="2">
      <t>タントウ</t>
    </rPh>
    <rPh sb="2" eb="4">
      <t>ギョウム</t>
    </rPh>
    <phoneticPr fontId="2"/>
  </si>
  <si>
    <t>連絡先氏名</t>
    <rPh sb="0" eb="3">
      <t>レンラクサキ</t>
    </rPh>
    <rPh sb="3" eb="5">
      <t>シメイ</t>
    </rPh>
    <phoneticPr fontId="2"/>
  </si>
  <si>
    <t>電話番号</t>
    <rPh sb="0" eb="2">
      <t>デンワ</t>
    </rPh>
    <rPh sb="2" eb="4">
      <t>バンゴウ</t>
    </rPh>
    <phoneticPr fontId="2"/>
  </si>
  <si>
    <t>ﾚｰﾄ</t>
    <phoneticPr fontId="2"/>
  </si>
  <si>
    <t>宿泊費</t>
    <rPh sb="0" eb="3">
      <t>シュクハクヒ</t>
    </rPh>
    <phoneticPr fontId="2"/>
  </si>
  <si>
    <t>-</t>
    <phoneticPr fontId="2"/>
  </si>
  <si>
    <t>その他経費</t>
    <rPh sb="0" eb="3">
      <t>ソノタ</t>
    </rPh>
    <rPh sb="3" eb="5">
      <t>ケイヒ</t>
    </rPh>
    <phoneticPr fontId="2"/>
  </si>
  <si>
    <t>その他</t>
    <rPh sb="0" eb="3">
      <t>ソノタ</t>
    </rPh>
    <phoneticPr fontId="2"/>
  </si>
  <si>
    <t>合計</t>
    <rPh sb="0" eb="2">
      <t>ゴウケイ</t>
    </rPh>
    <phoneticPr fontId="2"/>
  </si>
  <si>
    <t>改め計</t>
    <rPh sb="0" eb="1">
      <t>アラタ</t>
    </rPh>
    <rPh sb="2" eb="3">
      <t>ケイ</t>
    </rPh>
    <phoneticPr fontId="2"/>
  </si>
  <si>
    <t>消費税</t>
    <rPh sb="0" eb="3">
      <t>ショウヒゼイ</t>
    </rPh>
    <phoneticPr fontId="2"/>
  </si>
  <si>
    <t>発注額合計</t>
    <rPh sb="0" eb="2">
      <t>ハッチュウ</t>
    </rPh>
    <rPh sb="2" eb="3">
      <t>ガク</t>
    </rPh>
    <rPh sb="3" eb="5">
      <t>ゴウケイ</t>
    </rPh>
    <phoneticPr fontId="2"/>
  </si>
  <si>
    <t>特記事項</t>
    <rPh sb="0" eb="2">
      <t>トッキ</t>
    </rPh>
    <rPh sb="2" eb="4">
      <t>ジコウ</t>
    </rPh>
    <phoneticPr fontId="2"/>
  </si>
  <si>
    <t>基準月額算定書</t>
    <rPh sb="0" eb="2">
      <t>キジュン</t>
    </rPh>
    <rPh sb="2" eb="4">
      <t>ゲツガク</t>
    </rPh>
    <rPh sb="4" eb="6">
      <t>サンテイ</t>
    </rPh>
    <rPh sb="6" eb="7">
      <t>ショ</t>
    </rPh>
    <phoneticPr fontId="2"/>
  </si>
  <si>
    <t>金額</t>
    <rPh sb="0" eb="2">
      <t>キンガク</t>
    </rPh>
    <phoneticPr fontId="2"/>
  </si>
  <si>
    <t>事前評価</t>
    <rPh sb="0" eb="2">
      <t>ジゼン</t>
    </rPh>
    <rPh sb="2" eb="4">
      <t>ヒョウカ</t>
    </rPh>
    <phoneticPr fontId="2"/>
  </si>
  <si>
    <t>個人所得税説明レター送付</t>
    <rPh sb="0" eb="2">
      <t>コジン</t>
    </rPh>
    <rPh sb="2" eb="5">
      <t>ショトクゼイ</t>
    </rPh>
    <rPh sb="5" eb="7">
      <t>セツメイ</t>
    </rPh>
    <rPh sb="10" eb="12">
      <t>ソウフ</t>
    </rPh>
    <phoneticPr fontId="2"/>
  </si>
  <si>
    <t>当該発注により実行予算予定原価に10%以上の変動がある場合は、変更実行予算を作成する。</t>
    <rPh sb="0" eb="2">
      <t>トウガイ</t>
    </rPh>
    <rPh sb="2" eb="4">
      <t>ハッチュウ</t>
    </rPh>
    <rPh sb="7" eb="9">
      <t>ジッコウ</t>
    </rPh>
    <rPh sb="9" eb="11">
      <t>ヨサン</t>
    </rPh>
    <rPh sb="11" eb="13">
      <t>ヨテイ</t>
    </rPh>
    <rPh sb="13" eb="15">
      <t>ゲンカ</t>
    </rPh>
    <rPh sb="19" eb="21">
      <t>イジョウ</t>
    </rPh>
    <rPh sb="22" eb="24">
      <t>ヘンドウ</t>
    </rPh>
    <rPh sb="27" eb="29">
      <t>バアイ</t>
    </rPh>
    <rPh sb="31" eb="33">
      <t>ヘンコウ</t>
    </rPh>
    <rPh sb="33" eb="35">
      <t>ジッコウ</t>
    </rPh>
    <rPh sb="35" eb="37">
      <t>ヨサン</t>
    </rPh>
    <rPh sb="38" eb="40">
      <t>サクセイ</t>
    </rPh>
    <phoneticPr fontId="2"/>
  </si>
  <si>
    <t>2.支給方法</t>
    <rPh sb="2" eb="4">
      <t>シキュウ</t>
    </rPh>
    <rPh sb="4" eb="6">
      <t>ホウホウ</t>
    </rPh>
    <phoneticPr fontId="2"/>
  </si>
  <si>
    <t>1.区分</t>
    <rPh sb="2" eb="4">
      <t>クブン</t>
    </rPh>
    <phoneticPr fontId="2"/>
  </si>
  <si>
    <t>3.支払先</t>
    <rPh sb="2" eb="4">
      <t>シハライ</t>
    </rPh>
    <rPh sb="4" eb="5">
      <t>サキ</t>
    </rPh>
    <phoneticPr fontId="2"/>
  </si>
  <si>
    <t>その他単位</t>
    <rPh sb="2" eb="3">
      <t>タ</t>
    </rPh>
    <rPh sb="3" eb="5">
      <t>タンイ</t>
    </rPh>
    <phoneticPr fontId="2"/>
  </si>
  <si>
    <t>式</t>
    <rPh sb="0" eb="1">
      <t>シキ</t>
    </rPh>
    <phoneticPr fontId="2"/>
  </si>
  <si>
    <t>本</t>
    <rPh sb="0" eb="1">
      <t>ホン</t>
    </rPh>
    <phoneticPr fontId="2"/>
  </si>
  <si>
    <t>枚</t>
    <rPh sb="0" eb="1">
      <t>マイ</t>
    </rPh>
    <phoneticPr fontId="2"/>
  </si>
  <si>
    <t>冊</t>
    <rPh sb="0" eb="1">
      <t>サツ</t>
    </rPh>
    <phoneticPr fontId="2"/>
  </si>
  <si>
    <t>回</t>
    <rPh sb="0" eb="1">
      <t>カイ</t>
    </rPh>
    <phoneticPr fontId="2"/>
  </si>
  <si>
    <t>作業区分</t>
    <rPh sb="0" eb="2">
      <t>サギョウ</t>
    </rPh>
    <rPh sb="2" eb="4">
      <t>クブン</t>
    </rPh>
    <phoneticPr fontId="2"/>
  </si>
  <si>
    <t>国内</t>
    <rPh sb="0" eb="2">
      <t>コクナイ</t>
    </rPh>
    <phoneticPr fontId="2"/>
  </si>
  <si>
    <t>国外</t>
    <rPh sb="0" eb="2">
      <t>コクガイ</t>
    </rPh>
    <phoneticPr fontId="2"/>
  </si>
  <si>
    <t>支給区分</t>
    <rPh sb="0" eb="2">
      <t>シキュウ</t>
    </rPh>
    <rPh sb="2" eb="4">
      <t>クブン</t>
    </rPh>
    <phoneticPr fontId="2"/>
  </si>
  <si>
    <t>月額報酬</t>
    <rPh sb="0" eb="2">
      <t>ゲツガク</t>
    </rPh>
    <rPh sb="2" eb="4">
      <t>ホウシュウ</t>
    </rPh>
    <phoneticPr fontId="2"/>
  </si>
  <si>
    <t>宿泊</t>
    <rPh sb="0" eb="2">
      <t>シュクハク</t>
    </rPh>
    <phoneticPr fontId="2"/>
  </si>
  <si>
    <t>クラス</t>
    <phoneticPr fontId="2"/>
  </si>
  <si>
    <t>以下の条件を上限として交渉を依頼</t>
    <phoneticPr fontId="2"/>
  </si>
  <si>
    <t>ＰＴＡ</t>
    <phoneticPr fontId="2"/>
  </si>
  <si>
    <t>作業場所</t>
    <rPh sb="0" eb="2">
      <t>サギョウ</t>
    </rPh>
    <rPh sb="2" eb="4">
      <t>バショ</t>
    </rPh>
    <phoneticPr fontId="2"/>
  </si>
  <si>
    <t>作業期間</t>
    <rPh sb="0" eb="2">
      <t>サギョウ</t>
    </rPh>
    <rPh sb="2" eb="4">
      <t>キカン</t>
    </rPh>
    <phoneticPr fontId="2"/>
  </si>
  <si>
    <t>M/M</t>
    <phoneticPr fontId="2"/>
  </si>
  <si>
    <t>(</t>
    <phoneticPr fontId="2"/>
  </si>
  <si>
    <t>)</t>
    <phoneticPr fontId="2"/>
  </si>
  <si>
    <t>日数計算</t>
    <rPh sb="0" eb="2">
      <t>ニッスウ</t>
    </rPh>
    <rPh sb="2" eb="4">
      <t>ケイサン</t>
    </rPh>
    <phoneticPr fontId="2"/>
  </si>
  <si>
    <t>月毎総日数</t>
    <rPh sb="0" eb="2">
      <t>ツキゴト</t>
    </rPh>
    <rPh sb="2" eb="3">
      <t>ソウ</t>
    </rPh>
    <rPh sb="3" eb="5">
      <t>ニッスウ</t>
    </rPh>
    <phoneticPr fontId="2"/>
  </si>
  <si>
    <t>稼働日数ベース</t>
    <rPh sb="0" eb="2">
      <t>カドウ</t>
    </rPh>
    <rPh sb="2" eb="4">
      <t>ニッスウ</t>
    </rPh>
    <phoneticPr fontId="2"/>
  </si>
  <si>
    <t>海外日</t>
    <rPh sb="0" eb="2">
      <t>カイガイ</t>
    </rPh>
    <rPh sb="2" eb="3">
      <t>ヒ</t>
    </rPh>
    <phoneticPr fontId="2"/>
  </si>
  <si>
    <t>ＭＭ計算方法</t>
    <rPh sb="2" eb="4">
      <t>ケイサン</t>
    </rPh>
    <rPh sb="4" eb="6">
      <t>ホウホウ</t>
    </rPh>
    <phoneticPr fontId="2"/>
  </si>
  <si>
    <t>稼働日ベース</t>
    <rPh sb="0" eb="3">
      <t>カドウビ</t>
    </rPh>
    <phoneticPr fontId="2"/>
  </si>
  <si>
    <t>total</t>
    <phoneticPr fontId="2"/>
  </si>
  <si>
    <t>契約稼働</t>
    <rPh sb="0" eb="2">
      <t>ケイヤク</t>
    </rPh>
    <rPh sb="2" eb="4">
      <t>カドウ</t>
    </rPh>
    <phoneticPr fontId="2"/>
  </si>
  <si>
    <t>その他（他流用等理由を記入）</t>
    <rPh sb="2" eb="3">
      <t>タ</t>
    </rPh>
    <rPh sb="4" eb="5">
      <t>ホカ</t>
    </rPh>
    <rPh sb="5" eb="7">
      <t>リュウヨウ</t>
    </rPh>
    <rPh sb="7" eb="8">
      <t>トウ</t>
    </rPh>
    <rPh sb="8" eb="10">
      <t>リユウ</t>
    </rPh>
    <rPh sb="11" eb="13">
      <t>キニュウ</t>
    </rPh>
    <phoneticPr fontId="2"/>
  </si>
  <si>
    <t>作業件名</t>
    <rPh sb="0" eb="2">
      <t>サギョウ</t>
    </rPh>
    <rPh sb="2" eb="4">
      <t>ケンメイ</t>
    </rPh>
    <phoneticPr fontId="2"/>
  </si>
  <si>
    <t>１．外注付託内訳</t>
    <rPh sb="2" eb="4">
      <t>ガイチュウ</t>
    </rPh>
    <rPh sb="4" eb="6">
      <t>フタク</t>
    </rPh>
    <rPh sb="6" eb="8">
      <t>ウチワケ</t>
    </rPh>
    <phoneticPr fontId="2"/>
  </si>
  <si>
    <t>その他経費</t>
    <rPh sb="2" eb="3">
      <t>タ</t>
    </rPh>
    <rPh sb="3" eb="5">
      <t>ケイヒ</t>
    </rPh>
    <phoneticPr fontId="2"/>
  </si>
  <si>
    <t>区分</t>
    <rPh sb="0" eb="2">
      <t>クブン</t>
    </rPh>
    <phoneticPr fontId="2"/>
  </si>
  <si>
    <t>月ベース</t>
    <rPh sb="0" eb="1">
      <t>ツキ</t>
    </rPh>
    <phoneticPr fontId="2"/>
  </si>
  <si>
    <t>必要</t>
    <rPh sb="0" eb="2">
      <t>ヒツヨウ</t>
    </rPh>
    <phoneticPr fontId="2"/>
  </si>
  <si>
    <t>不要（右をチェック）</t>
    <rPh sb="0" eb="2">
      <t>フヨウ</t>
    </rPh>
    <rPh sb="3" eb="4">
      <t>ミギ</t>
    </rPh>
    <phoneticPr fontId="2"/>
  </si>
  <si>
    <t>4.備考</t>
    <rPh sb="2" eb="4">
      <t>ビコウ</t>
    </rPh>
    <phoneticPr fontId="2"/>
  </si>
  <si>
    <t>法人</t>
    <rPh sb="0" eb="2">
      <t>ホウジン</t>
    </rPh>
    <phoneticPr fontId="2"/>
  </si>
  <si>
    <t>個人</t>
    <rPh sb="0" eb="2">
      <t>コジン</t>
    </rPh>
    <phoneticPr fontId="2"/>
  </si>
  <si>
    <t>本人へ現地払</t>
    <rPh sb="0" eb="2">
      <t>ホンニン</t>
    </rPh>
    <rPh sb="3" eb="5">
      <t>ゲンチ</t>
    </rPh>
    <rPh sb="5" eb="6">
      <t>ハラ</t>
    </rPh>
    <phoneticPr fontId="2"/>
  </si>
  <si>
    <t>稼働日</t>
    <rPh sb="0" eb="2">
      <t>カドウ</t>
    </rPh>
    <rPh sb="2" eb="3">
      <t>ヒ</t>
    </rPh>
    <phoneticPr fontId="2"/>
  </si>
  <si>
    <t>決裁区分</t>
    <rPh sb="0" eb="2">
      <t>ケッサイ</t>
    </rPh>
    <rPh sb="2" eb="4">
      <t>クブン</t>
    </rPh>
    <phoneticPr fontId="2"/>
  </si>
  <si>
    <t>（要員借上期間変更用）</t>
    <rPh sb="1" eb="3">
      <t>ヨウイン</t>
    </rPh>
    <rPh sb="3" eb="5">
      <t>カリア</t>
    </rPh>
    <rPh sb="5" eb="7">
      <t>キカン</t>
    </rPh>
    <rPh sb="7" eb="9">
      <t>ヘンコウ</t>
    </rPh>
    <rPh sb="9" eb="10">
      <t>ヨウ</t>
    </rPh>
    <phoneticPr fontId="2"/>
  </si>
  <si>
    <t>下記の通り、借上外注付託依頼書の内容変更を致したく、手続きの程お願い致します。</t>
    <rPh sb="0" eb="2">
      <t>カキ</t>
    </rPh>
    <rPh sb="3" eb="4">
      <t>トオ</t>
    </rPh>
    <rPh sb="6" eb="8">
      <t>カリア</t>
    </rPh>
    <rPh sb="8" eb="10">
      <t>ガイチュウ</t>
    </rPh>
    <rPh sb="10" eb="12">
      <t>フタク</t>
    </rPh>
    <rPh sb="12" eb="15">
      <t>イライショ</t>
    </rPh>
    <rPh sb="16" eb="18">
      <t>ナイヨウ</t>
    </rPh>
    <rPh sb="18" eb="20">
      <t>ヘンコウ</t>
    </rPh>
    <rPh sb="21" eb="22">
      <t>イタ</t>
    </rPh>
    <rPh sb="26" eb="28">
      <t>テツヅ</t>
    </rPh>
    <rPh sb="30" eb="31">
      <t>ホド</t>
    </rPh>
    <rPh sb="31" eb="33">
      <t>オネガ</t>
    </rPh>
    <rPh sb="34" eb="35">
      <t>イタ</t>
    </rPh>
    <phoneticPr fontId="2"/>
  </si>
  <si>
    <t>所属会社</t>
    <rPh sb="0" eb="2">
      <t>ショゾク</t>
    </rPh>
    <rPh sb="2" eb="4">
      <t>カイシャ</t>
    </rPh>
    <phoneticPr fontId="2"/>
  </si>
  <si>
    <t>変更前</t>
    <rPh sb="0" eb="2">
      <t>ヘンコウ</t>
    </rPh>
    <rPh sb="2" eb="3">
      <t>マエ</t>
    </rPh>
    <phoneticPr fontId="2"/>
  </si>
  <si>
    <t>→</t>
    <phoneticPr fontId="2"/>
  </si>
  <si>
    <t>変更後</t>
    <rPh sb="0" eb="2">
      <t>ヘンコウ</t>
    </rPh>
    <rPh sb="2" eb="3">
      <t>ゴ</t>
    </rPh>
    <phoneticPr fontId="2"/>
  </si>
  <si>
    <t>契約関連</t>
    <rPh sb="0" eb="2">
      <t>ケイヤク</t>
    </rPh>
    <rPh sb="2" eb="4">
      <t>カンレン</t>
    </rPh>
    <phoneticPr fontId="2"/>
  </si>
  <si>
    <t>変更合計</t>
    <rPh sb="0" eb="2">
      <t>ヘンコウ</t>
    </rPh>
    <rPh sb="2" eb="4">
      <t>ゴウケイ</t>
    </rPh>
    <phoneticPr fontId="2"/>
  </si>
  <si>
    <t>【１】</t>
    <phoneticPr fontId="2"/>
  </si>
  <si>
    <t>【２】</t>
    <phoneticPr fontId="2"/>
  </si>
  <si>
    <t>【３】</t>
    <phoneticPr fontId="2"/>
  </si>
  <si>
    <t>受付日</t>
    <rPh sb="0" eb="2">
      <t>ウケツケ</t>
    </rPh>
    <rPh sb="2" eb="3">
      <t>ビ</t>
    </rPh>
    <phoneticPr fontId="2"/>
  </si>
  <si>
    <t>依頼担当者Code</t>
    <rPh sb="0" eb="2">
      <t>イライ</t>
    </rPh>
    <rPh sb="2" eb="5">
      <t>タントウシャ</t>
    </rPh>
    <phoneticPr fontId="2"/>
  </si>
  <si>
    <t>依頼部名</t>
    <rPh sb="0" eb="2">
      <t>イライ</t>
    </rPh>
    <rPh sb="2" eb="3">
      <t>ブ</t>
    </rPh>
    <rPh sb="3" eb="4">
      <t>メイ</t>
    </rPh>
    <phoneticPr fontId="2"/>
  </si>
  <si>
    <t>依頼部Code</t>
    <rPh sb="0" eb="2">
      <t>イライ</t>
    </rPh>
    <rPh sb="2" eb="3">
      <t>ブ</t>
    </rPh>
    <phoneticPr fontId="2"/>
  </si>
  <si>
    <t>依頼担当者名</t>
    <rPh sb="0" eb="2">
      <t>イライ</t>
    </rPh>
    <rPh sb="2" eb="4">
      <t>タントウ</t>
    </rPh>
    <rPh sb="4" eb="5">
      <t>シャ</t>
    </rPh>
    <rPh sb="5" eb="6">
      <t>メイ</t>
    </rPh>
    <phoneticPr fontId="2"/>
  </si>
  <si>
    <t>国内法人</t>
    <rPh sb="0" eb="2">
      <t>コクナイ</t>
    </rPh>
    <rPh sb="2" eb="4">
      <t>ホウジン</t>
    </rPh>
    <phoneticPr fontId="2"/>
  </si>
  <si>
    <t>国内個人</t>
    <rPh sb="0" eb="2">
      <t>コクナイ</t>
    </rPh>
    <rPh sb="2" eb="4">
      <t>コジン</t>
    </rPh>
    <phoneticPr fontId="2"/>
  </si>
  <si>
    <t>国外法人</t>
    <rPh sb="0" eb="2">
      <t>コクガイ</t>
    </rPh>
    <rPh sb="2" eb="4">
      <t>ホウジン</t>
    </rPh>
    <phoneticPr fontId="2"/>
  </si>
  <si>
    <t>国外個人</t>
    <rPh sb="0" eb="2">
      <t>コクガイ</t>
    </rPh>
    <rPh sb="2" eb="4">
      <t>コジン</t>
    </rPh>
    <phoneticPr fontId="2"/>
  </si>
  <si>
    <t>\</t>
    <phoneticPr fontId="2"/>
  </si>
  <si>
    <t>$</t>
    <phoneticPr fontId="2"/>
  </si>
  <si>
    <t>￡</t>
    <phoneticPr fontId="2"/>
  </si>
  <si>
    <t>業務内容通知書</t>
    <rPh sb="0" eb="2">
      <t>ギョウム</t>
    </rPh>
    <rPh sb="2" eb="4">
      <t>ナイヨウ</t>
    </rPh>
    <rPh sb="4" eb="7">
      <t>ツウチショ</t>
    </rPh>
    <phoneticPr fontId="2"/>
  </si>
  <si>
    <t>記</t>
    <rPh sb="0" eb="1">
      <t>キ</t>
    </rPh>
    <phoneticPr fontId="2"/>
  </si>
  <si>
    <t>1.　担当業務　：</t>
    <rPh sb="3" eb="5">
      <t>タントウ</t>
    </rPh>
    <rPh sb="5" eb="7">
      <t>ギョウム</t>
    </rPh>
    <phoneticPr fontId="2"/>
  </si>
  <si>
    <t>2.　業務内容　：</t>
    <rPh sb="3" eb="5">
      <t>ギョウム</t>
    </rPh>
    <rPh sb="5" eb="7">
      <t>ナイヨウ</t>
    </rPh>
    <phoneticPr fontId="2"/>
  </si>
  <si>
    <t>　以　　上</t>
    <rPh sb="1" eb="5">
      <t>イジョウ</t>
    </rPh>
    <phoneticPr fontId="2"/>
  </si>
  <si>
    <t>＊　外人雇用の場合は、上記書類はは本人には手交せず契約書に記載する。したがって、上記ﾌｫｰﾑに拘らず英文にて記載すること。</t>
    <rPh sb="2" eb="4">
      <t>ガイジン</t>
    </rPh>
    <rPh sb="4" eb="6">
      <t>コヨウ</t>
    </rPh>
    <rPh sb="7" eb="9">
      <t>バアイ</t>
    </rPh>
    <rPh sb="11" eb="13">
      <t>ジョウキ</t>
    </rPh>
    <rPh sb="13" eb="15">
      <t>ショルイ</t>
    </rPh>
    <rPh sb="17" eb="19">
      <t>ホンニン</t>
    </rPh>
    <rPh sb="21" eb="23">
      <t>シュコウ</t>
    </rPh>
    <rPh sb="25" eb="28">
      <t>ケイヤクショ</t>
    </rPh>
    <rPh sb="29" eb="31">
      <t>キサイ</t>
    </rPh>
    <rPh sb="40" eb="42">
      <t>ジョウキ</t>
    </rPh>
    <rPh sb="47" eb="48">
      <t>カカワ</t>
    </rPh>
    <rPh sb="50" eb="52">
      <t>エイブン</t>
    </rPh>
    <rPh sb="54" eb="56">
      <t>キサイ</t>
    </rPh>
    <phoneticPr fontId="2"/>
  </si>
  <si>
    <t>国籍</t>
    <rPh sb="0" eb="2">
      <t>コクセキ</t>
    </rPh>
    <phoneticPr fontId="2"/>
  </si>
  <si>
    <t>項目名</t>
    <rPh sb="0" eb="2">
      <t>コウモク</t>
    </rPh>
    <rPh sb="2" eb="3">
      <t>メイ</t>
    </rPh>
    <phoneticPr fontId="2"/>
  </si>
  <si>
    <t>入力欄</t>
    <rPh sb="0" eb="2">
      <t>ニュウリョク</t>
    </rPh>
    <rPh sb="2" eb="3">
      <t>ラン</t>
    </rPh>
    <phoneticPr fontId="2"/>
  </si>
  <si>
    <t>発注年月日</t>
    <rPh sb="0" eb="2">
      <t>ハッチュウ</t>
    </rPh>
    <rPh sb="2" eb="5">
      <t>ネンガッピ</t>
    </rPh>
    <phoneticPr fontId="2"/>
  </si>
  <si>
    <t>事業領域</t>
    <rPh sb="0" eb="2">
      <t>ジギョウ</t>
    </rPh>
    <rPh sb="2" eb="4">
      <t>リョウイキ</t>
    </rPh>
    <phoneticPr fontId="2"/>
  </si>
  <si>
    <t>支払条件</t>
    <rPh sb="0" eb="2">
      <t>シハライ</t>
    </rPh>
    <rPh sb="2" eb="4">
      <t>ジョウケン</t>
    </rPh>
    <phoneticPr fontId="2"/>
  </si>
  <si>
    <t>出来高区分</t>
    <rPh sb="0" eb="3">
      <t>デキダカ</t>
    </rPh>
    <rPh sb="3" eb="5">
      <t>クブン</t>
    </rPh>
    <phoneticPr fontId="2"/>
  </si>
  <si>
    <t>源泉徴収フラグ</t>
    <rPh sb="0" eb="2">
      <t>ゲンセン</t>
    </rPh>
    <rPh sb="2" eb="4">
      <t>チョウシュウ</t>
    </rPh>
    <phoneticPr fontId="2"/>
  </si>
  <si>
    <t>発注担当者code</t>
    <rPh sb="0" eb="2">
      <t>ハッチュウ</t>
    </rPh>
    <rPh sb="2" eb="5">
      <t>タントウシャ</t>
    </rPh>
    <phoneticPr fontId="2"/>
  </si>
  <si>
    <t>注文書発行フラグ</t>
    <rPh sb="0" eb="3">
      <t>チュウモンショ</t>
    </rPh>
    <rPh sb="3" eb="5">
      <t>ハッコウ</t>
    </rPh>
    <phoneticPr fontId="2"/>
  </si>
  <si>
    <t>請書発行フラグ</t>
    <rPh sb="0" eb="2">
      <t>ウケショ</t>
    </rPh>
    <rPh sb="2" eb="4">
      <t>ハッコウ</t>
    </rPh>
    <phoneticPr fontId="2"/>
  </si>
  <si>
    <t>請求書発行フラグ</t>
    <rPh sb="0" eb="3">
      <t>セイキュウショ</t>
    </rPh>
    <rPh sb="3" eb="5">
      <t>ハッコウ</t>
    </rPh>
    <phoneticPr fontId="2"/>
  </si>
  <si>
    <t>納品書発行フラグ</t>
    <rPh sb="0" eb="3">
      <t>ノウヒンショ</t>
    </rPh>
    <rPh sb="3" eb="5">
      <t>ハッコウ</t>
    </rPh>
    <phoneticPr fontId="2"/>
  </si>
  <si>
    <t>摘要</t>
    <rPh sb="0" eb="2">
      <t>テキヨウ</t>
    </rPh>
    <phoneticPr fontId="2"/>
  </si>
  <si>
    <t>完成後一括払</t>
    <phoneticPr fontId="16"/>
  </si>
  <si>
    <t>対象</t>
    <phoneticPr fontId="16"/>
  </si>
  <si>
    <t>可</t>
    <phoneticPr fontId="16"/>
  </si>
  <si>
    <t>部分払</t>
    <phoneticPr fontId="16"/>
  </si>
  <si>
    <t>対象外</t>
    <phoneticPr fontId="16"/>
  </si>
  <si>
    <t>否</t>
    <phoneticPr fontId="16"/>
  </si>
  <si>
    <t>出来高払</t>
    <phoneticPr fontId="16"/>
  </si>
  <si>
    <t>分割払</t>
    <phoneticPr fontId="16"/>
  </si>
  <si>
    <t>完納払</t>
    <phoneticPr fontId="16"/>
  </si>
  <si>
    <t>竣工払</t>
    <phoneticPr fontId="16"/>
  </si>
  <si>
    <t>下記の経費は実費精算</t>
    <rPh sb="0" eb="2">
      <t>カキ</t>
    </rPh>
    <rPh sb="3" eb="5">
      <t>ケイヒ</t>
    </rPh>
    <rPh sb="6" eb="8">
      <t>ジッピ</t>
    </rPh>
    <rPh sb="8" eb="10">
      <t>セイサン</t>
    </rPh>
    <phoneticPr fontId="2"/>
  </si>
  <si>
    <t>下記の金額を上限に実費精算</t>
    <rPh sb="0" eb="2">
      <t>カキ</t>
    </rPh>
    <rPh sb="3" eb="5">
      <t>キンガク</t>
    </rPh>
    <rPh sb="6" eb="8">
      <t>ジョウゲン</t>
    </rPh>
    <rPh sb="9" eb="11">
      <t>ジッピ</t>
    </rPh>
    <rPh sb="11" eb="13">
      <t>セイサン</t>
    </rPh>
    <phoneticPr fontId="2"/>
  </si>
  <si>
    <t>（</t>
    <phoneticPr fontId="2"/>
  </si>
  <si>
    <t>）を充当する。</t>
    <phoneticPr fontId="2"/>
  </si>
  <si>
    <t>）</t>
    <phoneticPr fontId="2"/>
  </si>
  <si>
    <t>M/M</t>
    <phoneticPr fontId="2"/>
  </si>
  <si>
    <t/>
  </si>
  <si>
    <t>殿</t>
    <rPh sb="0" eb="1">
      <t>トノ</t>
    </rPh>
    <phoneticPr fontId="2"/>
  </si>
  <si>
    <t>)</t>
    <phoneticPr fontId="2"/>
  </si>
  <si>
    <t>-</t>
    <phoneticPr fontId="2"/>
  </si>
  <si>
    <t>(</t>
    <phoneticPr fontId="2"/>
  </si>
  <si>
    <t>完成後一括払</t>
    <phoneticPr fontId="16"/>
  </si>
  <si>
    <t>対象</t>
    <phoneticPr fontId="16"/>
  </si>
  <si>
    <t>可</t>
    <phoneticPr fontId="16"/>
  </si>
  <si>
    <t>部分払</t>
    <phoneticPr fontId="16"/>
  </si>
  <si>
    <t>対象外</t>
    <phoneticPr fontId="16"/>
  </si>
  <si>
    <t>否</t>
    <phoneticPr fontId="16"/>
  </si>
  <si>
    <t>分割払</t>
    <phoneticPr fontId="16"/>
  </si>
  <si>
    <t>完納払</t>
    <phoneticPr fontId="16"/>
  </si>
  <si>
    <t>竣工払</t>
    <phoneticPr fontId="16"/>
  </si>
  <si>
    <t>M/H</t>
    <phoneticPr fontId="2"/>
  </si>
  <si>
    <t xml:space="preserve"> </t>
    <phoneticPr fontId="2"/>
  </si>
  <si>
    <t>見積額</t>
    <rPh sb="0" eb="2">
      <t>ミツモリ</t>
    </rPh>
    <rPh sb="2" eb="3">
      <t>ガク</t>
    </rPh>
    <phoneticPr fontId="2"/>
  </si>
  <si>
    <t xml:space="preserve"> </t>
    <phoneticPr fontId="2"/>
  </si>
  <si>
    <t>依頼No</t>
    <rPh sb="0" eb="2">
      <t>イライ</t>
    </rPh>
    <phoneticPr fontId="2"/>
  </si>
  <si>
    <t>(</t>
    <phoneticPr fontId="2"/>
  </si>
  <si>
    <t>JICA等</t>
    <rPh sb="4" eb="5">
      <t>トウ</t>
    </rPh>
    <phoneticPr fontId="2"/>
  </si>
  <si>
    <t>業務部長殿</t>
  </si>
  <si>
    <t>単価（入力）</t>
    <rPh sb="0" eb="2">
      <t>タンカ</t>
    </rPh>
    <phoneticPr fontId="2"/>
  </si>
  <si>
    <t>A.調査</t>
  </si>
  <si>
    <t>B.設計</t>
  </si>
  <si>
    <t>C.設計・管理</t>
  </si>
  <si>
    <t>D.監督</t>
  </si>
  <si>
    <t>メール送信内容</t>
    <rPh sb="3" eb="5">
      <t>ソウシン</t>
    </rPh>
    <rPh sb="5" eb="7">
      <t>ナイヨウ</t>
    </rPh>
    <phoneticPr fontId="2"/>
  </si>
  <si>
    <t>宛先</t>
    <rPh sb="0" eb="2">
      <t>アテサキ</t>
    </rPh>
    <phoneticPr fontId="2"/>
  </si>
  <si>
    <t>件名</t>
    <rPh sb="0" eb="2">
      <t>ケンメイ</t>
    </rPh>
    <phoneticPr fontId="2"/>
  </si>
  <si>
    <t>差出人</t>
    <rPh sb="0" eb="2">
      <t>サシダシ</t>
    </rPh>
    <rPh sb="2" eb="3">
      <t>ニン</t>
    </rPh>
    <phoneticPr fontId="2"/>
  </si>
  <si>
    <t>本文</t>
    <rPh sb="0" eb="2">
      <t>ホンブン</t>
    </rPh>
    <phoneticPr fontId="2"/>
  </si>
  <si>
    <t>先日、受領しました御依頼は、以下の内容で確定致しました。</t>
    <rPh sb="0" eb="2">
      <t>センジツ</t>
    </rPh>
    <rPh sb="3" eb="5">
      <t>ジュリョウ</t>
    </rPh>
    <rPh sb="9" eb="12">
      <t>ゴイライ</t>
    </rPh>
    <rPh sb="14" eb="16">
      <t>イカ</t>
    </rPh>
    <rPh sb="17" eb="19">
      <t>ナイヨウ</t>
    </rPh>
    <rPh sb="20" eb="23">
      <t>カクテイイタ</t>
    </rPh>
    <phoneticPr fontId="2"/>
  </si>
  <si>
    <t>依頼番号</t>
    <rPh sb="0" eb="2">
      <t>イライ</t>
    </rPh>
    <rPh sb="2" eb="4">
      <t>バンゴウ</t>
    </rPh>
    <phoneticPr fontId="2"/>
  </si>
  <si>
    <t>依頼額</t>
    <rPh sb="0" eb="2">
      <t>イライ</t>
    </rPh>
    <rPh sb="2" eb="3">
      <t>ガク</t>
    </rPh>
    <phoneticPr fontId="2"/>
  </si>
  <si>
    <t>本体額</t>
    <rPh sb="0" eb="2">
      <t>ホンタイ</t>
    </rPh>
    <rPh sb="2" eb="3">
      <t>ガク</t>
    </rPh>
    <phoneticPr fontId="2"/>
  </si>
  <si>
    <t>仕入先名</t>
    <rPh sb="0" eb="2">
      <t>シイレ</t>
    </rPh>
    <rPh sb="2" eb="3">
      <t>サキ</t>
    </rPh>
    <rPh sb="3" eb="4">
      <t>メイ</t>
    </rPh>
    <phoneticPr fontId="2"/>
  </si>
  <si>
    <t>備考：</t>
    <rPh sb="0" eb="2">
      <t>ビコウ</t>
    </rPh>
    <phoneticPr fontId="2"/>
  </si>
  <si>
    <t>外国政府（LOAN)等</t>
    <rPh sb="0" eb="2">
      <t>ガイコク</t>
    </rPh>
    <rPh sb="2" eb="4">
      <t>セイフ</t>
    </rPh>
    <rPh sb="10" eb="11">
      <t>トウ</t>
    </rPh>
    <phoneticPr fontId="2"/>
  </si>
  <si>
    <t>借上外部要員の基準報酬月額算定基準</t>
    <rPh sb="0" eb="2">
      <t>カリア</t>
    </rPh>
    <rPh sb="2" eb="6">
      <t>ガイブヨウイン</t>
    </rPh>
    <rPh sb="7" eb="9">
      <t>キジュン</t>
    </rPh>
    <rPh sb="9" eb="11">
      <t>ホウシュウ</t>
    </rPh>
    <rPh sb="11" eb="13">
      <t>ゲツガク</t>
    </rPh>
    <rPh sb="13" eb="15">
      <t>サンテイ</t>
    </rPh>
    <rPh sb="15" eb="17">
      <t>キジュン</t>
    </rPh>
    <phoneticPr fontId="2"/>
  </si>
  <si>
    <t>a.経験年数基準標準賃率</t>
    <rPh sb="2" eb="4">
      <t>ケイケン</t>
    </rPh>
    <rPh sb="4" eb="6">
      <t>ネンスウ</t>
    </rPh>
    <rPh sb="6" eb="8">
      <t>キジュン</t>
    </rPh>
    <rPh sb="8" eb="10">
      <t>ヒョウジュン</t>
    </rPh>
    <rPh sb="10" eb="12">
      <t>チンリツ</t>
    </rPh>
    <phoneticPr fontId="2"/>
  </si>
  <si>
    <t>社内賃率は参事1級相当を上限とする。</t>
    <rPh sb="0" eb="2">
      <t>シャナイ</t>
    </rPh>
    <rPh sb="2" eb="4">
      <t>チンリツ</t>
    </rPh>
    <rPh sb="5" eb="7">
      <t>サンジ</t>
    </rPh>
    <rPh sb="7" eb="9">
      <t>１キュウ</t>
    </rPh>
    <rPh sb="9" eb="11">
      <t>ソウトウ</t>
    </rPh>
    <rPh sb="12" eb="14">
      <t>ジョウゲン</t>
    </rPh>
    <phoneticPr fontId="2"/>
  </si>
  <si>
    <t>（円）</t>
    <rPh sb="1" eb="2">
      <t>エン</t>
    </rPh>
    <phoneticPr fontId="2"/>
  </si>
  <si>
    <t>A</t>
    <phoneticPr fontId="2"/>
  </si>
  <si>
    <t>29年以上</t>
    <rPh sb="0" eb="3">
      <t>２９ネン</t>
    </rPh>
    <rPh sb="3" eb="5">
      <t>イジョウ</t>
    </rPh>
    <phoneticPr fontId="2"/>
  </si>
  <si>
    <t>参事1級</t>
    <rPh sb="0" eb="2">
      <t>サンジ</t>
    </rPh>
    <rPh sb="2" eb="4">
      <t>１キュウ</t>
    </rPh>
    <phoneticPr fontId="2"/>
  </si>
  <si>
    <t>26‐28年</t>
    <rPh sb="5" eb="6">
      <t>ネン</t>
    </rPh>
    <phoneticPr fontId="2"/>
  </si>
  <si>
    <t>参事2級</t>
    <rPh sb="0" eb="2">
      <t>サンジ</t>
    </rPh>
    <rPh sb="2" eb="4">
      <t>２キュウ</t>
    </rPh>
    <phoneticPr fontId="2"/>
  </si>
  <si>
    <t>23‐25年</t>
    <rPh sb="3" eb="6">
      <t>２５ネン</t>
    </rPh>
    <phoneticPr fontId="2"/>
  </si>
  <si>
    <t>参事3級</t>
    <rPh sb="0" eb="2">
      <t>サンジ</t>
    </rPh>
    <rPh sb="2" eb="4">
      <t>サンキュウ</t>
    </rPh>
    <phoneticPr fontId="2"/>
  </si>
  <si>
    <t>20‐22年</t>
    <rPh sb="5" eb="6">
      <t>ネン</t>
    </rPh>
    <phoneticPr fontId="2"/>
  </si>
  <si>
    <t>副参事1級</t>
    <rPh sb="0" eb="1">
      <t>フク</t>
    </rPh>
    <rPh sb="1" eb="3">
      <t>サンジ</t>
    </rPh>
    <rPh sb="3" eb="5">
      <t>１キュウ</t>
    </rPh>
    <phoneticPr fontId="2"/>
  </si>
  <si>
    <t>17‐19年</t>
    <rPh sb="3" eb="6">
      <t>１９ネン</t>
    </rPh>
    <phoneticPr fontId="2"/>
  </si>
  <si>
    <t>副参事2級</t>
    <rPh sb="0" eb="1">
      <t>フク</t>
    </rPh>
    <rPh sb="1" eb="3">
      <t>サンジ</t>
    </rPh>
    <rPh sb="3" eb="5">
      <t>２キュウ</t>
    </rPh>
    <phoneticPr fontId="2"/>
  </si>
  <si>
    <t>14‐16年</t>
    <rPh sb="3" eb="6">
      <t>１９ネン</t>
    </rPh>
    <phoneticPr fontId="2"/>
  </si>
  <si>
    <t>副参事3級</t>
    <rPh sb="0" eb="1">
      <t>フク</t>
    </rPh>
    <rPh sb="1" eb="3">
      <t>サンジ</t>
    </rPh>
    <rPh sb="3" eb="5">
      <t>サンキュウ</t>
    </rPh>
    <phoneticPr fontId="2"/>
  </si>
  <si>
    <t>12‐13年</t>
    <rPh sb="3" eb="6">
      <t>１３ネン</t>
    </rPh>
    <phoneticPr fontId="2"/>
  </si>
  <si>
    <t>技師1級</t>
    <rPh sb="0" eb="2">
      <t>ギシ</t>
    </rPh>
    <rPh sb="3" eb="4">
      <t>キュウ</t>
    </rPh>
    <phoneticPr fontId="2"/>
  </si>
  <si>
    <t>9‐11年</t>
    <rPh sb="2" eb="5">
      <t>１１ネン</t>
    </rPh>
    <phoneticPr fontId="2"/>
  </si>
  <si>
    <t>技師2級</t>
    <rPh sb="0" eb="2">
      <t>ギシ</t>
    </rPh>
    <rPh sb="3" eb="4">
      <t>キュウ</t>
    </rPh>
    <phoneticPr fontId="2"/>
  </si>
  <si>
    <t>6‐8年</t>
    <rPh sb="2" eb="4">
      <t>８ネン</t>
    </rPh>
    <phoneticPr fontId="2"/>
  </si>
  <si>
    <t>技師3級</t>
    <rPh sb="0" eb="2">
      <t>ギシ</t>
    </rPh>
    <rPh sb="3" eb="4">
      <t>キュウ</t>
    </rPh>
    <phoneticPr fontId="2"/>
  </si>
  <si>
    <t>4‐5年</t>
    <rPh sb="2" eb="4">
      <t>５ネン</t>
    </rPh>
    <phoneticPr fontId="2"/>
  </si>
  <si>
    <t>技師補</t>
    <rPh sb="0" eb="2">
      <t>ギシ</t>
    </rPh>
    <rPh sb="2" eb="3">
      <t>ホ</t>
    </rPh>
    <phoneticPr fontId="2"/>
  </si>
  <si>
    <t>0‐3年</t>
    <rPh sb="2" eb="4">
      <t>３ネン</t>
    </rPh>
    <phoneticPr fontId="2"/>
  </si>
  <si>
    <t>一般社員</t>
    <rPh sb="0" eb="2">
      <t>イッパン</t>
    </rPh>
    <rPh sb="2" eb="4">
      <t>シャイン</t>
    </rPh>
    <phoneticPr fontId="2"/>
  </si>
  <si>
    <t>b.諸経費</t>
    <rPh sb="2" eb="5">
      <t>ショケイヒ</t>
    </rPh>
    <phoneticPr fontId="2"/>
  </si>
  <si>
    <t>標準賃率の</t>
    <rPh sb="0" eb="2">
      <t>ヒョウジュン</t>
    </rPh>
    <rPh sb="2" eb="4">
      <t>チンリツ</t>
    </rPh>
    <phoneticPr fontId="2"/>
  </si>
  <si>
    <t>個人事業者（個人会社・非常勤嘱託）</t>
    <rPh sb="0" eb="2">
      <t>コジン</t>
    </rPh>
    <rPh sb="2" eb="5">
      <t>ジギョウシャ</t>
    </rPh>
    <rPh sb="6" eb="8">
      <t>コジン</t>
    </rPh>
    <rPh sb="8" eb="10">
      <t>カイシャ</t>
    </rPh>
    <rPh sb="11" eb="14">
      <t>ヒジョウキン</t>
    </rPh>
    <rPh sb="14" eb="16">
      <t>ショクタク</t>
    </rPh>
    <phoneticPr fontId="2"/>
  </si>
  <si>
    <t>専業ｺﾝｻﾙﾀﾝﾄ（従業員数10名以下）</t>
    <rPh sb="0" eb="2">
      <t>センギョウ</t>
    </rPh>
    <rPh sb="10" eb="14">
      <t>ジュウギョウインスウ</t>
    </rPh>
    <rPh sb="14" eb="17">
      <t>１０メイ</t>
    </rPh>
    <rPh sb="17" eb="19">
      <t>イカ</t>
    </rPh>
    <phoneticPr fontId="2"/>
  </si>
  <si>
    <t>専業ｺﾝｻﾙﾀﾝﾄ（従業員数11-50名）</t>
    <rPh sb="0" eb="2">
      <t>センギョウ</t>
    </rPh>
    <rPh sb="10" eb="14">
      <t>ジュウギョウインスウ</t>
    </rPh>
    <rPh sb="19" eb="20">
      <t>１０メイ</t>
    </rPh>
    <phoneticPr fontId="2"/>
  </si>
  <si>
    <t>専業ｺﾝｻﾙﾀﾝﾄ（従業員数51名以上）</t>
    <rPh sb="0" eb="2">
      <t>センギョウ</t>
    </rPh>
    <rPh sb="10" eb="14">
      <t>ジュウギョウインスウ</t>
    </rPh>
    <rPh sb="14" eb="17">
      <t>５１メイ</t>
    </rPh>
    <rPh sb="17" eb="19">
      <t>イジョウ</t>
    </rPh>
    <phoneticPr fontId="2"/>
  </si>
  <si>
    <t>ｺﾝｻﾙﾀﾝﾄ以外の業種（従業員数10名以下）</t>
    <rPh sb="7" eb="9">
      <t>イガイ</t>
    </rPh>
    <rPh sb="10" eb="12">
      <t>ギョウシュ</t>
    </rPh>
    <rPh sb="13" eb="17">
      <t>ジュウギョウインスウ</t>
    </rPh>
    <rPh sb="19" eb="20">
      <t>メイ</t>
    </rPh>
    <rPh sb="20" eb="22">
      <t>イカ</t>
    </rPh>
    <phoneticPr fontId="2"/>
  </si>
  <si>
    <t>ｺﾝｻﾙﾀﾝﾄ以外の業種（従業員数11-50名）</t>
    <rPh sb="7" eb="9">
      <t>イガイ</t>
    </rPh>
    <rPh sb="10" eb="12">
      <t>ギョウシュ</t>
    </rPh>
    <rPh sb="13" eb="17">
      <t>ジュウギョウインスウ</t>
    </rPh>
    <rPh sb="22" eb="23">
      <t>メイ</t>
    </rPh>
    <phoneticPr fontId="2"/>
  </si>
  <si>
    <t>ｺﾝｻﾙﾀﾝﾄ以外の業種（従業員数50名以上）</t>
    <rPh sb="7" eb="9">
      <t>イガイ</t>
    </rPh>
    <rPh sb="10" eb="12">
      <t>ギョウシュ</t>
    </rPh>
    <rPh sb="13" eb="17">
      <t>ジュウギョウインスウ</t>
    </rPh>
    <rPh sb="19" eb="20">
      <t>メイ</t>
    </rPh>
    <rPh sb="20" eb="22">
      <t>イジョウ</t>
    </rPh>
    <phoneticPr fontId="2"/>
  </si>
  <si>
    <t>ゼネコン</t>
    <phoneticPr fontId="2"/>
  </si>
  <si>
    <t>H2</t>
    <phoneticPr fontId="2"/>
  </si>
  <si>
    <t>H3</t>
    <phoneticPr fontId="2"/>
  </si>
  <si>
    <t>c.技術能力・作業条件</t>
    <rPh sb="2" eb="4">
      <t>ギジュツ</t>
    </rPh>
    <rPh sb="4" eb="6">
      <t>ノウリョク</t>
    </rPh>
    <rPh sb="7" eb="9">
      <t>サギョウ</t>
    </rPh>
    <rPh sb="9" eb="11">
      <t>ジョウケン</t>
    </rPh>
    <phoneticPr fontId="2"/>
  </si>
  <si>
    <t>1. 技術能力評価基準</t>
    <rPh sb="3" eb="5">
      <t>ギジュツ</t>
    </rPh>
    <rPh sb="5" eb="7">
      <t>ノウリョク</t>
    </rPh>
    <rPh sb="7" eb="9">
      <t>ヒョウカ</t>
    </rPh>
    <rPh sb="9" eb="11">
      <t>キジュン</t>
    </rPh>
    <phoneticPr fontId="2"/>
  </si>
  <si>
    <t>1.1 公的資格評価</t>
    <rPh sb="4" eb="6">
      <t>コウテキ</t>
    </rPh>
    <rPh sb="6" eb="8">
      <t>シカク</t>
    </rPh>
    <rPh sb="8" eb="10">
      <t>ヒョウカ</t>
    </rPh>
    <phoneticPr fontId="2"/>
  </si>
  <si>
    <t>博士・技術士・ＰＭＰ</t>
    <rPh sb="0" eb="2">
      <t>ハカセ</t>
    </rPh>
    <rPh sb="3" eb="6">
      <t>ギジュツシ</t>
    </rPh>
    <phoneticPr fontId="2"/>
  </si>
  <si>
    <t>業務上有効なその他資格</t>
    <rPh sb="0" eb="3">
      <t>ギョウムジョウ</t>
    </rPh>
    <rPh sb="3" eb="5">
      <t>ユウコウ</t>
    </rPh>
    <rPh sb="6" eb="9">
      <t>ソノタ</t>
    </rPh>
    <rPh sb="9" eb="11">
      <t>シカク</t>
    </rPh>
    <phoneticPr fontId="2"/>
  </si>
  <si>
    <t>資格なし</t>
    <rPh sb="0" eb="2">
      <t>シカク</t>
    </rPh>
    <phoneticPr fontId="2"/>
  </si>
  <si>
    <t>1.2 語学能力評価</t>
    <rPh sb="4" eb="6">
      <t>ゴガク</t>
    </rPh>
    <rPh sb="6" eb="8">
      <t>ノウリョク</t>
    </rPh>
    <rPh sb="8" eb="10">
      <t>ヒョウカ</t>
    </rPh>
    <phoneticPr fontId="2"/>
  </si>
  <si>
    <t>極めて良い</t>
    <rPh sb="0" eb="1">
      <t>キワ</t>
    </rPh>
    <rPh sb="3" eb="4">
      <t>ヨ</t>
    </rPh>
    <phoneticPr fontId="2"/>
  </si>
  <si>
    <t>TOEIC840以上</t>
    <rPh sb="8" eb="10">
      <t>イジョウ</t>
    </rPh>
    <phoneticPr fontId="2"/>
  </si>
  <si>
    <t>良い</t>
    <rPh sb="0" eb="1">
      <t>ヨ</t>
    </rPh>
    <phoneticPr fontId="2"/>
  </si>
  <si>
    <t>TOEIC730 - 839</t>
    <phoneticPr fontId="2"/>
  </si>
  <si>
    <t>C</t>
    <phoneticPr fontId="2"/>
  </si>
  <si>
    <t>普通</t>
    <rPh sb="0" eb="2">
      <t>フツウ</t>
    </rPh>
    <phoneticPr fontId="2"/>
  </si>
  <si>
    <t>TOEIC600 - 729</t>
    <phoneticPr fontId="2"/>
  </si>
  <si>
    <t>D</t>
    <phoneticPr fontId="2"/>
  </si>
  <si>
    <t>悪い（資格のない場合を含む）</t>
    <rPh sb="0" eb="1">
      <t>ワル</t>
    </rPh>
    <rPh sb="3" eb="5">
      <t>シカク</t>
    </rPh>
    <rPh sb="8" eb="10">
      <t>バアイ</t>
    </rPh>
    <rPh sb="11" eb="12">
      <t>フク</t>
    </rPh>
    <phoneticPr fontId="2"/>
  </si>
  <si>
    <t>TOEIC 599以下</t>
    <rPh sb="9" eb="11">
      <t>イカ</t>
    </rPh>
    <phoneticPr fontId="2"/>
  </si>
  <si>
    <t>E</t>
    <phoneticPr fontId="2"/>
  </si>
  <si>
    <t>業務上有効なその他の語学</t>
    <rPh sb="0" eb="3">
      <t>ギョウムジョウ</t>
    </rPh>
    <rPh sb="3" eb="5">
      <t>ユウコウ</t>
    </rPh>
    <rPh sb="6" eb="9">
      <t>ソノタ</t>
    </rPh>
    <rPh sb="10" eb="12">
      <t>ゴガク</t>
    </rPh>
    <phoneticPr fontId="2"/>
  </si>
  <si>
    <t>1.3 実績評価</t>
    <rPh sb="4" eb="6">
      <t>ジッセキ</t>
    </rPh>
    <rPh sb="6" eb="8">
      <t>ヒョウカ</t>
    </rPh>
    <phoneticPr fontId="2"/>
  </si>
  <si>
    <t>ISO直近の事後評価に準拠。</t>
    <rPh sb="3" eb="4">
      <t>チョク</t>
    </rPh>
    <rPh sb="4" eb="5">
      <t>キン</t>
    </rPh>
    <rPh sb="6" eb="8">
      <t>ジゴ</t>
    </rPh>
    <rPh sb="8" eb="10">
      <t>ヒョウカ</t>
    </rPh>
    <rPh sb="11" eb="13">
      <t>ジュンキョ</t>
    </rPh>
    <phoneticPr fontId="2"/>
  </si>
  <si>
    <t>評価を行なっていない場合はEとする。</t>
    <rPh sb="0" eb="2">
      <t>ヒョウカ</t>
    </rPh>
    <rPh sb="3" eb="4">
      <t>オコ</t>
    </rPh>
    <rPh sb="10" eb="12">
      <t>バアイ</t>
    </rPh>
    <phoneticPr fontId="2"/>
  </si>
  <si>
    <t>下記基準を基に一万円単位で評価金額を記入。</t>
    <rPh sb="0" eb="2">
      <t>カキ</t>
    </rPh>
    <rPh sb="2" eb="4">
      <t>キジュン</t>
    </rPh>
    <rPh sb="5" eb="6">
      <t>モト</t>
    </rPh>
    <rPh sb="7" eb="10">
      <t>１マンエン</t>
    </rPh>
    <rPh sb="10" eb="12">
      <t>タンイ</t>
    </rPh>
    <rPh sb="13" eb="15">
      <t>ヒョウカ</t>
    </rPh>
    <rPh sb="15" eb="17">
      <t>キンガク</t>
    </rPh>
    <rPh sb="18" eb="20">
      <t>キニュウ</t>
    </rPh>
    <phoneticPr fontId="2"/>
  </si>
  <si>
    <t>AA</t>
    <phoneticPr fontId="2"/>
  </si>
  <si>
    <t>特に優秀</t>
    <rPh sb="0" eb="1">
      <t>トク</t>
    </rPh>
    <rPh sb="2" eb="4">
      <t>ユウシュウ</t>
    </rPh>
    <phoneticPr fontId="2"/>
  </si>
  <si>
    <t>優秀</t>
    <rPh sb="0" eb="2">
      <t>ユウシュウ</t>
    </rPh>
    <phoneticPr fontId="2"/>
  </si>
  <si>
    <t>B</t>
    <phoneticPr fontId="2"/>
  </si>
  <si>
    <t>悪い</t>
    <rPh sb="0" eb="1">
      <t>ワル</t>
    </rPh>
    <phoneticPr fontId="2"/>
  </si>
  <si>
    <t>特に悪い</t>
    <rPh sb="0" eb="1">
      <t>トク</t>
    </rPh>
    <rPh sb="2" eb="3">
      <t>ワル</t>
    </rPh>
    <phoneticPr fontId="2"/>
  </si>
  <si>
    <t>業績なし</t>
    <rPh sb="0" eb="2">
      <t>ギョウセキ</t>
    </rPh>
    <phoneticPr fontId="2"/>
  </si>
  <si>
    <t>2. 作業条件評価基準</t>
    <rPh sb="3" eb="5">
      <t>サギョウ</t>
    </rPh>
    <rPh sb="5" eb="7">
      <t>ジョウケン</t>
    </rPh>
    <rPh sb="7" eb="9">
      <t>ヒョウカ</t>
    </rPh>
    <rPh sb="9" eb="11">
      <t>キジュン</t>
    </rPh>
    <phoneticPr fontId="2"/>
  </si>
  <si>
    <t>2.1 派遣期間評価基準</t>
    <rPh sb="4" eb="6">
      <t>ハケン</t>
    </rPh>
    <rPh sb="6" eb="8">
      <t>キカン</t>
    </rPh>
    <rPh sb="8" eb="10">
      <t>ヒョウカ</t>
    </rPh>
    <rPh sb="10" eb="12">
      <t>キジュン</t>
    </rPh>
    <phoneticPr fontId="2"/>
  </si>
  <si>
    <t>1ヶ月未満</t>
    <rPh sb="0" eb="3">
      <t>１カゲツ</t>
    </rPh>
    <rPh sb="3" eb="5">
      <t>ミマン</t>
    </rPh>
    <phoneticPr fontId="2"/>
  </si>
  <si>
    <t>1ヶ月以上3ヶ月未満</t>
    <rPh sb="0" eb="3">
      <t>１カゲツ</t>
    </rPh>
    <rPh sb="3" eb="5">
      <t>イジョウ</t>
    </rPh>
    <rPh sb="5" eb="8">
      <t>３カゲツ</t>
    </rPh>
    <rPh sb="8" eb="10">
      <t>ミマン</t>
    </rPh>
    <phoneticPr fontId="2"/>
  </si>
  <si>
    <t>3ヶ月以上6ヶ月未満</t>
    <rPh sb="0" eb="5">
      <t>３カゲツイジョウ</t>
    </rPh>
    <rPh sb="5" eb="8">
      <t>６カゲツ</t>
    </rPh>
    <rPh sb="8" eb="10">
      <t>ミマン</t>
    </rPh>
    <phoneticPr fontId="2"/>
  </si>
  <si>
    <t>6ヶ月以上12ヶ月未満</t>
    <rPh sb="0" eb="3">
      <t>６カゲツ</t>
    </rPh>
    <rPh sb="3" eb="5">
      <t>イジョウ</t>
    </rPh>
    <rPh sb="5" eb="9">
      <t>１２カゲツ</t>
    </rPh>
    <rPh sb="9" eb="11">
      <t>ミマン</t>
    </rPh>
    <phoneticPr fontId="2"/>
  </si>
  <si>
    <t>12ヶ月以上</t>
    <rPh sb="0" eb="6">
      <t>１２カゲツイジョウ</t>
    </rPh>
    <phoneticPr fontId="2"/>
  </si>
  <si>
    <t>2.2 業務内容評価</t>
    <rPh sb="4" eb="6">
      <t>ギョウム</t>
    </rPh>
    <rPh sb="6" eb="8">
      <t>ナイヨウ</t>
    </rPh>
    <rPh sb="8" eb="10">
      <t>ヒョウカ</t>
    </rPh>
    <phoneticPr fontId="2"/>
  </si>
  <si>
    <t>総括・チームリーダー</t>
    <rPh sb="0" eb="2">
      <t>ソウカツ</t>
    </rPh>
    <phoneticPr fontId="2"/>
  </si>
  <si>
    <t>特殊業務</t>
    <rPh sb="0" eb="2">
      <t>トクシュ</t>
    </rPh>
    <rPh sb="2" eb="4">
      <t>ギョウム</t>
    </rPh>
    <phoneticPr fontId="2"/>
  </si>
  <si>
    <t>NKで自己消化不可能な業務</t>
    <rPh sb="3" eb="5">
      <t>ジコ</t>
    </rPh>
    <rPh sb="5" eb="7">
      <t>ショウカ</t>
    </rPh>
    <rPh sb="7" eb="10">
      <t>フカノウ</t>
    </rPh>
    <rPh sb="11" eb="13">
      <t>ギョウム</t>
    </rPh>
    <phoneticPr fontId="2"/>
  </si>
  <si>
    <t>調査・計画業務</t>
    <rPh sb="0" eb="2">
      <t>チョウサ</t>
    </rPh>
    <rPh sb="3" eb="5">
      <t>ケイカク</t>
    </rPh>
    <rPh sb="5" eb="7">
      <t>ギョウム</t>
    </rPh>
    <phoneticPr fontId="2"/>
  </si>
  <si>
    <t>設計・施工管理業務</t>
    <rPh sb="0" eb="2">
      <t>セッケイ</t>
    </rPh>
    <rPh sb="3" eb="5">
      <t>セコウ</t>
    </rPh>
    <rPh sb="5" eb="7">
      <t>カンリ</t>
    </rPh>
    <rPh sb="7" eb="9">
      <t>ギョウム</t>
    </rPh>
    <phoneticPr fontId="2"/>
  </si>
  <si>
    <t>その他補助的業務</t>
    <rPh sb="0" eb="3">
      <t>ソノタ</t>
    </rPh>
    <rPh sb="3" eb="6">
      <t>ホジョテキ</t>
    </rPh>
    <rPh sb="6" eb="8">
      <t>ギョウム</t>
    </rPh>
    <phoneticPr fontId="2"/>
  </si>
  <si>
    <t>2.3 作業環境評価</t>
    <rPh sb="4" eb="6">
      <t>サギョウ</t>
    </rPh>
    <rPh sb="6" eb="8">
      <t>カンキョウ</t>
    </rPh>
    <rPh sb="8" eb="10">
      <t>ヒョウカ</t>
    </rPh>
    <phoneticPr fontId="2"/>
  </si>
  <si>
    <t>国外旅費規定の内、特別加給手当支給基準に</t>
    <rPh sb="0" eb="2">
      <t>コクガイ</t>
    </rPh>
    <rPh sb="2" eb="4">
      <t>リョヒ</t>
    </rPh>
    <rPh sb="4" eb="6">
      <t>キテイ</t>
    </rPh>
    <rPh sb="7" eb="8">
      <t>ウチ</t>
    </rPh>
    <rPh sb="9" eb="11">
      <t>トクベツ</t>
    </rPh>
    <rPh sb="11" eb="13">
      <t>カキュウ</t>
    </rPh>
    <rPh sb="13" eb="15">
      <t>テアテ</t>
    </rPh>
    <rPh sb="15" eb="17">
      <t>シキュウ</t>
    </rPh>
    <rPh sb="17" eb="19">
      <t>キジュン</t>
    </rPh>
    <phoneticPr fontId="2"/>
  </si>
  <si>
    <t>準拠する。</t>
    <rPh sb="0" eb="2">
      <t>ジュンキョ</t>
    </rPh>
    <phoneticPr fontId="2"/>
  </si>
  <si>
    <t>注意１）　増額調整</t>
    <rPh sb="0" eb="2">
      <t>チュウイ</t>
    </rPh>
    <rPh sb="5" eb="7">
      <t>ゾウガク</t>
    </rPh>
    <rPh sb="7" eb="9">
      <t>チョウセイ</t>
    </rPh>
    <phoneticPr fontId="2"/>
  </si>
  <si>
    <t>上記の査定の結果、実質増額調整が5％を超える場合は、事業部長の事前承認とします。また、10％を超える場合は</t>
    <rPh sb="0" eb="2">
      <t>ジョウキ</t>
    </rPh>
    <rPh sb="3" eb="5">
      <t>サテイ</t>
    </rPh>
    <rPh sb="6" eb="8">
      <t>ケッカ</t>
    </rPh>
    <rPh sb="9" eb="11">
      <t>ジッシツ</t>
    </rPh>
    <rPh sb="11" eb="13">
      <t>ゾウガク</t>
    </rPh>
    <rPh sb="13" eb="15">
      <t>チョウセイ</t>
    </rPh>
    <rPh sb="19" eb="20">
      <t>コ</t>
    </rPh>
    <rPh sb="22" eb="24">
      <t>バアイ</t>
    </rPh>
    <rPh sb="26" eb="28">
      <t>ジギョウ</t>
    </rPh>
    <rPh sb="28" eb="30">
      <t>ブチョウ</t>
    </rPh>
    <rPh sb="31" eb="33">
      <t>ジゼン</t>
    </rPh>
    <rPh sb="33" eb="35">
      <t>ショウニン</t>
    </rPh>
    <rPh sb="47" eb="48">
      <t>コ</t>
    </rPh>
    <rPh sb="50" eb="52">
      <t>バアイ</t>
    </rPh>
    <phoneticPr fontId="2"/>
  </si>
  <si>
    <t>事業本部長の事前承認とします。</t>
    <rPh sb="0" eb="2">
      <t>ジギョウ</t>
    </rPh>
    <rPh sb="2" eb="5">
      <t>ホンブチョウ</t>
    </rPh>
    <rPh sb="6" eb="8">
      <t>ジゼン</t>
    </rPh>
    <rPh sb="8" eb="10">
      <t>ショウニン</t>
    </rPh>
    <phoneticPr fontId="2"/>
  </si>
  <si>
    <t>注意２）　JICA主要競合業者への発注</t>
    <rPh sb="0" eb="2">
      <t>チュウイ</t>
    </rPh>
    <rPh sb="9" eb="11">
      <t>シュヨウ</t>
    </rPh>
    <rPh sb="11" eb="13">
      <t>キョウゴウ</t>
    </rPh>
    <rPh sb="13" eb="15">
      <t>ギョウシャ</t>
    </rPh>
    <rPh sb="17" eb="19">
      <t>ハッチュウ</t>
    </rPh>
    <phoneticPr fontId="2"/>
  </si>
  <si>
    <t>JICA主要競合業者35社への発注は、以下の通りとします。</t>
    <rPh sb="4" eb="6">
      <t>シュヨウ</t>
    </rPh>
    <rPh sb="6" eb="8">
      <t>キョウゴウ</t>
    </rPh>
    <rPh sb="8" eb="10">
      <t>ギョウシャ</t>
    </rPh>
    <rPh sb="10" eb="13">
      <t>３５シャ</t>
    </rPh>
    <rPh sb="15" eb="17">
      <t>ハッチュウ</t>
    </rPh>
    <rPh sb="19" eb="21">
      <t>イカ</t>
    </rPh>
    <rPh sb="22" eb="23">
      <t>トオ</t>
    </rPh>
    <phoneticPr fontId="2"/>
  </si>
  <si>
    <t>１）原則的に上記の算定基準に則ることと致します。</t>
    <rPh sb="2" eb="5">
      <t>ゲンソクテキ</t>
    </rPh>
    <rPh sb="6" eb="8">
      <t>ジョウキ</t>
    </rPh>
    <rPh sb="9" eb="11">
      <t>サンテイ</t>
    </rPh>
    <rPh sb="11" eb="13">
      <t>キジュン</t>
    </rPh>
    <rPh sb="14" eb="15">
      <t>ノット</t>
    </rPh>
    <rPh sb="19" eb="20">
      <t>イタ</t>
    </rPh>
    <phoneticPr fontId="2"/>
  </si>
  <si>
    <t>２）ただし、上記の基準に則れない場合は、受注単価の80％を限度として、％での発注を認めます。</t>
    <rPh sb="6" eb="8">
      <t>ジョウキ</t>
    </rPh>
    <rPh sb="9" eb="11">
      <t>キジュン</t>
    </rPh>
    <rPh sb="12" eb="13">
      <t>ノット</t>
    </rPh>
    <rPh sb="16" eb="18">
      <t>バアイ</t>
    </rPh>
    <rPh sb="20" eb="22">
      <t>ジュチュウ</t>
    </rPh>
    <rPh sb="22" eb="24">
      <t>タンカ</t>
    </rPh>
    <rPh sb="29" eb="31">
      <t>ゲンド</t>
    </rPh>
    <rPh sb="38" eb="40">
      <t>ハッチュウ</t>
    </rPh>
    <rPh sb="41" eb="42">
      <t>ミト</t>
    </rPh>
    <phoneticPr fontId="2"/>
  </si>
  <si>
    <t>３）％発注の場合、83％を超過する場合は事業部長、90%を超過する場合は事業本部長に事前承認をとることとします。</t>
    <rPh sb="3" eb="5">
      <t>ハッチュウ</t>
    </rPh>
    <rPh sb="6" eb="8">
      <t>バアイ</t>
    </rPh>
    <rPh sb="13" eb="15">
      <t>チョウカ</t>
    </rPh>
    <rPh sb="17" eb="19">
      <t>バアイ</t>
    </rPh>
    <rPh sb="20" eb="22">
      <t>ジギョウ</t>
    </rPh>
    <rPh sb="22" eb="24">
      <t>ホンブチョウ</t>
    </rPh>
    <rPh sb="29" eb="31">
      <t>チョウカ</t>
    </rPh>
    <rPh sb="33" eb="35">
      <t>バアイ</t>
    </rPh>
    <rPh sb="36" eb="38">
      <t>ジギョウ</t>
    </rPh>
    <rPh sb="38" eb="41">
      <t>ホンブチョウ</t>
    </rPh>
    <rPh sb="42" eb="44">
      <t>ジゼン</t>
    </rPh>
    <rPh sb="44" eb="46">
      <t>ショウニン</t>
    </rPh>
    <phoneticPr fontId="2"/>
  </si>
  <si>
    <t>注意３）　外人への発注</t>
    <rPh sb="0" eb="2">
      <t>チュウイ</t>
    </rPh>
    <rPh sb="5" eb="7">
      <t>ガイジン</t>
    </rPh>
    <rPh sb="9" eb="11">
      <t>ハッチュウ</t>
    </rPh>
    <phoneticPr fontId="2"/>
  </si>
  <si>
    <t>外人（個人・法人）への発注は、以下の通りとします。</t>
    <rPh sb="0" eb="2">
      <t>ガイジン</t>
    </rPh>
    <rPh sb="3" eb="5">
      <t>コジン</t>
    </rPh>
    <rPh sb="6" eb="8">
      <t>ホウジン</t>
    </rPh>
    <rPh sb="11" eb="13">
      <t>ハッチュウ</t>
    </rPh>
    <rPh sb="15" eb="17">
      <t>イカ</t>
    </rPh>
    <rPh sb="18" eb="19">
      <t>トオ</t>
    </rPh>
    <phoneticPr fontId="2"/>
  </si>
  <si>
    <t>１）原則的に上記の算定基準を参考にすることと致します。</t>
    <rPh sb="2" eb="5">
      <t>ゲンソクテキ</t>
    </rPh>
    <rPh sb="6" eb="8">
      <t>ジョウキ</t>
    </rPh>
    <rPh sb="9" eb="11">
      <t>サンテイ</t>
    </rPh>
    <rPh sb="11" eb="13">
      <t>キジュン</t>
    </rPh>
    <rPh sb="14" eb="16">
      <t>サンコウ</t>
    </rPh>
    <rPh sb="22" eb="23">
      <t>イタ</t>
    </rPh>
    <phoneticPr fontId="2"/>
  </si>
  <si>
    <t>２）ただし、業務部が今後国別ガイドラインを策定する。策定後はガイドラインに則ることとします。</t>
    <rPh sb="6" eb="8">
      <t>ギョウム</t>
    </rPh>
    <rPh sb="8" eb="9">
      <t>ブ</t>
    </rPh>
    <rPh sb="10" eb="12">
      <t>コンゴ</t>
    </rPh>
    <rPh sb="12" eb="14">
      <t>クニベツ</t>
    </rPh>
    <rPh sb="21" eb="23">
      <t>サクテイ</t>
    </rPh>
    <rPh sb="26" eb="28">
      <t>サクテイ</t>
    </rPh>
    <rPh sb="28" eb="29">
      <t>ゴ</t>
    </rPh>
    <rPh sb="37" eb="38">
      <t>ノット</t>
    </rPh>
    <phoneticPr fontId="2"/>
  </si>
  <si>
    <t>３）外国人への発注にあたっては、円建て契約（原契約と同一通貨契約）を原則とします。</t>
    <rPh sb="2" eb="5">
      <t>ガイコクジン</t>
    </rPh>
    <rPh sb="7" eb="9">
      <t>ハッチュウ</t>
    </rPh>
    <rPh sb="16" eb="18">
      <t>エンダ</t>
    </rPh>
    <rPh sb="19" eb="21">
      <t>ケイヤク</t>
    </rPh>
    <rPh sb="22" eb="23">
      <t>ゲン</t>
    </rPh>
    <rPh sb="23" eb="25">
      <t>ケイヤク</t>
    </rPh>
    <rPh sb="26" eb="27">
      <t>ドウ</t>
    </rPh>
    <rPh sb="27" eb="28">
      <t>イチ</t>
    </rPh>
    <rPh sb="28" eb="30">
      <t>ツウカ</t>
    </rPh>
    <rPh sb="30" eb="32">
      <t>ケイヤク</t>
    </rPh>
    <rPh sb="34" eb="36">
      <t>ゲンソク</t>
    </rPh>
    <phoneticPr fontId="2"/>
  </si>
  <si>
    <t>注意４）　延長手続き</t>
    <rPh sb="0" eb="2">
      <t>チュウイ</t>
    </rPh>
    <rPh sb="5" eb="7">
      <t>エンチョウ</t>
    </rPh>
    <rPh sb="7" eb="9">
      <t>テツヅ</t>
    </rPh>
    <phoneticPr fontId="2"/>
  </si>
  <si>
    <t>1）延長に当たっては、派遣期間標準基準に則り通算派遣期間を根拠として、報酬単価を再査定すること。</t>
    <rPh sb="2" eb="4">
      <t>エンチョウ</t>
    </rPh>
    <rPh sb="5" eb="6">
      <t>ア</t>
    </rPh>
    <rPh sb="11" eb="13">
      <t>ハケン</t>
    </rPh>
    <rPh sb="13" eb="15">
      <t>キカン</t>
    </rPh>
    <rPh sb="15" eb="17">
      <t>ヒョウジュン</t>
    </rPh>
    <rPh sb="17" eb="19">
      <t>キジュン</t>
    </rPh>
    <rPh sb="20" eb="21">
      <t>ノット</t>
    </rPh>
    <rPh sb="22" eb="24">
      <t>ツウサン</t>
    </rPh>
    <rPh sb="24" eb="26">
      <t>ハケン</t>
    </rPh>
    <rPh sb="26" eb="28">
      <t>キカン</t>
    </rPh>
    <rPh sb="29" eb="31">
      <t>コンキョ</t>
    </rPh>
    <rPh sb="35" eb="37">
      <t>ホウシュウ</t>
    </rPh>
    <rPh sb="37" eb="39">
      <t>タンカ</t>
    </rPh>
    <rPh sb="40" eb="43">
      <t>サイサテイ</t>
    </rPh>
    <phoneticPr fontId="2"/>
  </si>
  <si>
    <t>2）再査定後の新報酬単価は、延長契約より適用する。</t>
    <rPh sb="2" eb="5">
      <t>サイサテイ</t>
    </rPh>
    <rPh sb="5" eb="6">
      <t>ゴ</t>
    </rPh>
    <rPh sb="7" eb="8">
      <t>シン</t>
    </rPh>
    <rPh sb="8" eb="10">
      <t>ホウシュウ</t>
    </rPh>
    <rPh sb="10" eb="12">
      <t>タンカ</t>
    </rPh>
    <rPh sb="14" eb="16">
      <t>エンチョウ</t>
    </rPh>
    <rPh sb="16" eb="18">
      <t>ケイヤク</t>
    </rPh>
    <rPh sb="20" eb="22">
      <t>テキヨウ</t>
    </rPh>
    <phoneticPr fontId="2"/>
  </si>
  <si>
    <t>　　　</t>
    <phoneticPr fontId="2"/>
  </si>
  <si>
    <t>　注　文　書　</t>
  </si>
  <si>
    <t>【変更前】</t>
  </si>
  <si>
    <t>数量</t>
  </si>
  <si>
    <t>　注　文　書　</t>
    <rPh sb="1" eb="2">
      <t>チュウ</t>
    </rPh>
    <rPh sb="3" eb="4">
      <t>ブン</t>
    </rPh>
    <rPh sb="5" eb="6">
      <t>ショ</t>
    </rPh>
    <phoneticPr fontId="2"/>
  </si>
  <si>
    <t>（乙）</t>
    <rPh sb="1" eb="2">
      <t>オツ</t>
    </rPh>
    <phoneticPr fontId="2"/>
  </si>
  <si>
    <t>（甲）</t>
    <rPh sb="1" eb="2">
      <t>コウ</t>
    </rPh>
    <phoneticPr fontId="2"/>
  </si>
  <si>
    <t>御中</t>
    <rPh sb="0" eb="2">
      <t>オンチュウ</t>
    </rPh>
    <phoneticPr fontId="2"/>
  </si>
  <si>
    <t>～</t>
    <phoneticPr fontId="2"/>
  </si>
  <si>
    <t>（</t>
    <phoneticPr fontId="2"/>
  </si>
  <si>
    <t>）</t>
    <phoneticPr fontId="2"/>
  </si>
  <si>
    <t>TOTAL:</t>
    <phoneticPr fontId="2"/>
  </si>
  <si>
    <t>\</t>
    <phoneticPr fontId="2"/>
  </si>
  <si>
    <t>－</t>
    <phoneticPr fontId="2"/>
  </si>
  <si>
    <t>（内訳）</t>
    <rPh sb="1" eb="3">
      <t>ウチワケ</t>
    </rPh>
    <phoneticPr fontId="2"/>
  </si>
  <si>
    <t>消費税等</t>
    <rPh sb="0" eb="3">
      <t>ショウヒゼイ</t>
    </rPh>
    <rPh sb="3" eb="4">
      <t>トウ</t>
    </rPh>
    <phoneticPr fontId="2"/>
  </si>
  <si>
    <t>\</t>
    <phoneticPr fontId="2"/>
  </si>
  <si>
    <t>－</t>
    <phoneticPr fontId="2"/>
  </si>
  <si>
    <t>報酬</t>
    <rPh sb="0" eb="2">
      <t>ホウシュウ</t>
    </rPh>
    <phoneticPr fontId="2"/>
  </si>
  <si>
    <t>\</t>
    <phoneticPr fontId="2"/>
  </si>
  <si>
    <t>×</t>
    <phoneticPr fontId="2"/>
  </si>
  <si>
    <t>=</t>
    <phoneticPr fontId="2"/>
  </si>
  <si>
    <t>貴社の相手先コード（仕入先コード）、今回のプロジェクトコード（作業科目）、契約No.は下記</t>
    <rPh sb="0" eb="2">
      <t>キシャ</t>
    </rPh>
    <rPh sb="3" eb="6">
      <t>アイテサキ</t>
    </rPh>
    <rPh sb="10" eb="12">
      <t>シイレ</t>
    </rPh>
    <rPh sb="12" eb="13">
      <t>サキ</t>
    </rPh>
    <rPh sb="18" eb="20">
      <t>コンカイ</t>
    </rPh>
    <rPh sb="31" eb="33">
      <t>サギョウ</t>
    </rPh>
    <rPh sb="33" eb="35">
      <t>カモク</t>
    </rPh>
    <rPh sb="37" eb="39">
      <t>ケイヤク</t>
    </rPh>
    <rPh sb="43" eb="45">
      <t>カキ</t>
    </rPh>
    <phoneticPr fontId="2"/>
  </si>
  <si>
    <t>の通りですので、請求書に必ずその旨ご記入下さい。</t>
    <rPh sb="1" eb="2">
      <t>トオ</t>
    </rPh>
    <rPh sb="8" eb="11">
      <t>セイキュウショ</t>
    </rPh>
    <rPh sb="12" eb="13">
      <t>カナラ</t>
    </rPh>
    <rPh sb="16" eb="17">
      <t>ムネ</t>
    </rPh>
    <rPh sb="18" eb="20">
      <t>キニュウ</t>
    </rPh>
    <rPh sb="20" eb="21">
      <t>クダ</t>
    </rPh>
    <phoneticPr fontId="2"/>
  </si>
  <si>
    <t>仕入先コード</t>
    <rPh sb="0" eb="2">
      <t>シイレ</t>
    </rPh>
    <rPh sb="2" eb="3">
      <t>サキ</t>
    </rPh>
    <phoneticPr fontId="2"/>
  </si>
  <si>
    <t>：</t>
    <phoneticPr fontId="2"/>
  </si>
  <si>
    <t>：</t>
    <phoneticPr fontId="2"/>
  </si>
  <si>
    <t>契約No.</t>
    <rPh sb="0" eb="2">
      <t>ケイヤク</t>
    </rPh>
    <phoneticPr fontId="2"/>
  </si>
  <si>
    <t>：</t>
    <phoneticPr fontId="2"/>
  </si>
  <si>
    <t>以　　上</t>
    <rPh sb="0" eb="1">
      <t>イ</t>
    </rPh>
    <rPh sb="3" eb="4">
      <t>ウエ</t>
    </rPh>
    <phoneticPr fontId="2"/>
  </si>
  <si>
    <t>　請　書　</t>
    <phoneticPr fontId="2"/>
  </si>
  <si>
    <t>住所</t>
    <rPh sb="0" eb="2">
      <t>ジュウショ</t>
    </rPh>
    <phoneticPr fontId="2"/>
  </si>
  <si>
    <t>氏名</t>
    <rPh sb="0" eb="2">
      <t>シメイ</t>
    </rPh>
    <phoneticPr fontId="2"/>
  </si>
  <si>
    <t>【変更後】</t>
    <phoneticPr fontId="2"/>
  </si>
  <si>
    <t>TOTAL：</t>
    <phoneticPr fontId="2"/>
  </si>
  <si>
    <t>　請　書　</t>
    <rPh sb="1" eb="2">
      <t>ショウ</t>
    </rPh>
    <rPh sb="3" eb="4">
      <t>ショ</t>
    </rPh>
    <phoneticPr fontId="2"/>
  </si>
  <si>
    <t>　請　求　書　</t>
    <rPh sb="1" eb="2">
      <t>ショウ</t>
    </rPh>
    <rPh sb="3" eb="4">
      <t>モトム</t>
    </rPh>
    <rPh sb="5" eb="6">
      <t>ショ</t>
    </rPh>
    <phoneticPr fontId="2"/>
  </si>
  <si>
    <t>（要員借上契約）</t>
    <rPh sb="1" eb="3">
      <t>ヨウイン</t>
    </rPh>
    <rPh sb="3" eb="5">
      <t>カリア</t>
    </rPh>
    <rPh sb="5" eb="7">
      <t>ケイヤク</t>
    </rPh>
    <phoneticPr fontId="2"/>
  </si>
  <si>
    <t>下記の通り請求いたします。</t>
    <rPh sb="0" eb="2">
      <t>カキ</t>
    </rPh>
    <rPh sb="3" eb="4">
      <t>トオ</t>
    </rPh>
    <rPh sb="5" eb="7">
      <t>セイキュウ</t>
    </rPh>
    <phoneticPr fontId="2"/>
  </si>
  <si>
    <t>今回請求額</t>
    <rPh sb="0" eb="2">
      <t>コンカイ</t>
    </rPh>
    <rPh sb="2" eb="4">
      <t>セイキュウ</t>
    </rPh>
    <rPh sb="4" eb="5">
      <t>ガク</t>
    </rPh>
    <phoneticPr fontId="2"/>
  </si>
  <si>
    <t>\                                  (金　　　　　　　　　　　　　也）</t>
    <rPh sb="36" eb="37">
      <t>キン</t>
    </rPh>
    <rPh sb="50" eb="51">
      <t>ナリ</t>
    </rPh>
    <phoneticPr fontId="2"/>
  </si>
  <si>
    <t>（　　　　　　　　　　　　　　　　　本体価格）</t>
    <rPh sb="18" eb="20">
      <t>ホンタイ</t>
    </rPh>
    <rPh sb="20" eb="22">
      <t>カカク</t>
    </rPh>
    <phoneticPr fontId="2"/>
  </si>
  <si>
    <t>（　　　　　　　　　　　　　　　　　消費税分）</t>
    <rPh sb="18" eb="21">
      <t>ショウヒゼイ</t>
    </rPh>
    <phoneticPr fontId="2"/>
  </si>
  <si>
    <t>契約件名</t>
    <rPh sb="0" eb="2">
      <t>ケイヤク</t>
    </rPh>
    <rPh sb="2" eb="4">
      <t>ケンメイ</t>
    </rPh>
    <phoneticPr fontId="2"/>
  </si>
  <si>
    <t>契約期間</t>
    <rPh sb="0" eb="2">
      <t>ケイヤク</t>
    </rPh>
    <rPh sb="2" eb="4">
      <t>キカン</t>
    </rPh>
    <phoneticPr fontId="2"/>
  </si>
  <si>
    <t>請求内訳</t>
    <rPh sb="0" eb="2">
      <t>セイキュウ</t>
    </rPh>
    <rPh sb="2" eb="4">
      <t>ウチワケ</t>
    </rPh>
    <phoneticPr fontId="2"/>
  </si>
  <si>
    <t>単価</t>
    <rPh sb="0" eb="2">
      <t>タンカ</t>
    </rPh>
    <phoneticPr fontId="2"/>
  </si>
  <si>
    <t>※1</t>
    <phoneticPr fontId="2"/>
  </si>
  <si>
    <t>請求実績</t>
    <rPh sb="0" eb="2">
      <t>セイキュウ</t>
    </rPh>
    <rPh sb="2" eb="4">
      <t>ジッセキ</t>
    </rPh>
    <phoneticPr fontId="2"/>
  </si>
  <si>
    <t>数量</t>
    <rPh sb="0" eb="2">
      <t>スウリョウ</t>
    </rPh>
    <phoneticPr fontId="2"/>
  </si>
  <si>
    <t>残高</t>
    <rPh sb="0" eb="2">
      <t>ザンダカ</t>
    </rPh>
    <phoneticPr fontId="2"/>
  </si>
  <si>
    <t>※2</t>
    <phoneticPr fontId="2"/>
  </si>
  <si>
    <t>契約金額</t>
    <rPh sb="0" eb="2">
      <t>ケイヤク</t>
    </rPh>
    <rPh sb="2" eb="4">
      <t>キンガク</t>
    </rPh>
    <phoneticPr fontId="2"/>
  </si>
  <si>
    <t>既受領額</t>
    <rPh sb="0" eb="1">
      <t>キ</t>
    </rPh>
    <rPh sb="1" eb="3">
      <t>ジュリョウ</t>
    </rPh>
    <rPh sb="3" eb="4">
      <t>ガク</t>
    </rPh>
    <phoneticPr fontId="2"/>
  </si>
  <si>
    <t>今回請求分</t>
    <rPh sb="0" eb="2">
      <t>コンカイ</t>
    </rPh>
    <rPh sb="2" eb="4">
      <t>セイキュウ</t>
    </rPh>
    <rPh sb="4" eb="5">
      <t>ブン</t>
    </rPh>
    <phoneticPr fontId="2"/>
  </si>
  <si>
    <t>※1 添付証書参照</t>
    <rPh sb="3" eb="5">
      <t>テンプ</t>
    </rPh>
    <rPh sb="5" eb="7">
      <t>ショウショ</t>
    </rPh>
    <rPh sb="7" eb="9">
      <t>サンショウ</t>
    </rPh>
    <phoneticPr fontId="2"/>
  </si>
  <si>
    <t>※2 消費税を除いた本体価格</t>
    <rPh sb="3" eb="6">
      <t>ショウヒゼイ</t>
    </rPh>
    <rPh sb="7" eb="8">
      <t>ノゾ</t>
    </rPh>
    <rPh sb="10" eb="12">
      <t>ホンタイ</t>
    </rPh>
    <rPh sb="12" eb="14">
      <t>カカク</t>
    </rPh>
    <phoneticPr fontId="2"/>
  </si>
  <si>
    <t>　 3 M/Mの計算は小数点第三位四捨五入</t>
    <rPh sb="8" eb="10">
      <t>ケイサン</t>
    </rPh>
    <rPh sb="11" eb="14">
      <t>ショウスウテン</t>
    </rPh>
    <rPh sb="14" eb="17">
      <t>ダイサンイ</t>
    </rPh>
    <rPh sb="17" eb="21">
      <t>シシャゴニュウ</t>
    </rPh>
    <phoneticPr fontId="2"/>
  </si>
  <si>
    <t>　書類送付ご案内　</t>
    <rPh sb="1" eb="3">
      <t>ショルイ</t>
    </rPh>
    <rPh sb="3" eb="5">
      <t>ソウフ</t>
    </rPh>
    <rPh sb="6" eb="8">
      <t>アンナイ</t>
    </rPh>
    <phoneticPr fontId="2"/>
  </si>
  <si>
    <t>TEL:</t>
    <phoneticPr fontId="2"/>
  </si>
  <si>
    <t>FAX:</t>
    <phoneticPr fontId="2"/>
  </si>
  <si>
    <t>敬具</t>
    <rPh sb="0" eb="2">
      <t>ケイグ</t>
    </rPh>
    <phoneticPr fontId="2"/>
  </si>
  <si>
    <t>否</t>
  </si>
  <si>
    <t>出来高払</t>
  </si>
  <si>
    <t>箇所を入力</t>
    <rPh sb="0" eb="2">
      <t>カショ</t>
    </rPh>
    <rPh sb="3" eb="5">
      <t>ニュウリョク</t>
    </rPh>
    <phoneticPr fontId="2"/>
  </si>
  <si>
    <t>平成</t>
    <rPh sb="0" eb="2">
      <t>ヘイセイ</t>
    </rPh>
    <phoneticPr fontId="2"/>
  </si>
  <si>
    <t>年</t>
    <rPh sb="0" eb="1">
      <t>ネン</t>
    </rPh>
    <phoneticPr fontId="2"/>
  </si>
  <si>
    <t>日</t>
    <rPh sb="0" eb="1">
      <t>ヒ</t>
    </rPh>
    <phoneticPr fontId="2"/>
  </si>
  <si>
    <t>Ref. No.</t>
    <phoneticPr fontId="2"/>
  </si>
  <si>
    <t>承認</t>
    <rPh sb="0" eb="2">
      <t>ショウニン</t>
    </rPh>
    <phoneticPr fontId="2"/>
  </si>
  <si>
    <t>事業部長</t>
    <rPh sb="0" eb="2">
      <t>ジギョウ</t>
    </rPh>
    <rPh sb="2" eb="4">
      <t>ホンブチョウ</t>
    </rPh>
    <phoneticPr fontId="2"/>
  </si>
  <si>
    <t>部長</t>
    <rPh sb="0" eb="2">
      <t>ブチョウ</t>
    </rPh>
    <phoneticPr fontId="2"/>
  </si>
  <si>
    <t>部・室長</t>
    <rPh sb="0" eb="1">
      <t>ブ</t>
    </rPh>
    <rPh sb="2" eb="3">
      <t>シツ</t>
    </rPh>
    <rPh sb="3" eb="4">
      <t>チョウ</t>
    </rPh>
    <phoneticPr fontId="2"/>
  </si>
  <si>
    <t>借上外部要員基準月額算定書</t>
    <rPh sb="0" eb="2">
      <t>カリアゲ</t>
    </rPh>
    <rPh sb="2" eb="4">
      <t>ガイブ</t>
    </rPh>
    <rPh sb="4" eb="6">
      <t>ヨウイン</t>
    </rPh>
    <rPh sb="6" eb="8">
      <t>キジュン</t>
    </rPh>
    <rPh sb="8" eb="10">
      <t>ゲツガク</t>
    </rPh>
    <rPh sb="10" eb="12">
      <t>サンテイ</t>
    </rPh>
    <rPh sb="12" eb="13">
      <t>ショ</t>
    </rPh>
    <phoneticPr fontId="2"/>
  </si>
  <si>
    <t>A.ﾌﾟﾛｼﾞｪｸﾄ名</t>
    <rPh sb="10" eb="11">
      <t>メイ</t>
    </rPh>
    <phoneticPr fontId="2"/>
  </si>
  <si>
    <t>B.作業科目</t>
    <rPh sb="2" eb="4">
      <t>サギョウ</t>
    </rPh>
    <rPh sb="4" eb="6">
      <t>カモク</t>
    </rPh>
    <phoneticPr fontId="2"/>
  </si>
  <si>
    <t>FUND</t>
    <phoneticPr fontId="2"/>
  </si>
  <si>
    <t>C.借上要員名</t>
    <rPh sb="2" eb="4">
      <t>カリアゲ</t>
    </rPh>
    <rPh sb="4" eb="6">
      <t>ヨウイン</t>
    </rPh>
    <rPh sb="6" eb="7">
      <t>メイ</t>
    </rPh>
    <phoneticPr fontId="2"/>
  </si>
  <si>
    <t>外注形態</t>
    <rPh sb="0" eb="2">
      <t>ガイチュウ</t>
    </rPh>
    <rPh sb="2" eb="4">
      <t>ケイタイ</t>
    </rPh>
    <phoneticPr fontId="2"/>
  </si>
  <si>
    <t>D.所属会社等</t>
    <rPh sb="2" eb="4">
      <t>ショゾク</t>
    </rPh>
    <rPh sb="4" eb="6">
      <t>カイシャ</t>
    </rPh>
    <rPh sb="6" eb="7">
      <t>トウ</t>
    </rPh>
    <phoneticPr fontId="2"/>
  </si>
  <si>
    <t>E.調整前金額/月</t>
    <rPh sb="2" eb="4">
      <t>チョウセイ</t>
    </rPh>
    <rPh sb="4" eb="5">
      <t>マエ</t>
    </rPh>
    <rPh sb="5" eb="7">
      <t>キンガク</t>
    </rPh>
    <rPh sb="8" eb="9">
      <t>ツキ</t>
    </rPh>
    <phoneticPr fontId="2"/>
  </si>
  <si>
    <t>千円</t>
    <rPh sb="0" eb="2">
      <t>センエン</t>
    </rPh>
    <phoneticPr fontId="2"/>
  </si>
  <si>
    <t>F.調整額及び率</t>
    <rPh sb="2" eb="4">
      <t>チョウセイ</t>
    </rPh>
    <rPh sb="4" eb="5">
      <t>ガク</t>
    </rPh>
    <rPh sb="5" eb="6">
      <t>オヨ</t>
    </rPh>
    <rPh sb="7" eb="8">
      <t>リツ</t>
    </rPh>
    <phoneticPr fontId="2"/>
  </si>
  <si>
    <t>％</t>
    <phoneticPr fontId="2"/>
  </si>
  <si>
    <t>（うち、日当調整）</t>
    <rPh sb="4" eb="6">
      <t>ニットウ</t>
    </rPh>
    <rPh sb="6" eb="8">
      <t>チョウセイ</t>
    </rPh>
    <phoneticPr fontId="2"/>
  </si>
  <si>
    <t>（</t>
    <phoneticPr fontId="2"/>
  </si>
  <si>
    <t>千円）　　（</t>
    <rPh sb="0" eb="2">
      <t>センエン</t>
    </rPh>
    <phoneticPr fontId="2"/>
  </si>
  <si>
    <t>％）</t>
    <phoneticPr fontId="2"/>
  </si>
  <si>
    <t>実質調整額及び率</t>
    <rPh sb="0" eb="2">
      <t>ジッシツ</t>
    </rPh>
    <rPh sb="2" eb="4">
      <t>チョウセイ</t>
    </rPh>
    <rPh sb="4" eb="5">
      <t>ガク</t>
    </rPh>
    <rPh sb="5" eb="6">
      <t>オヨ</t>
    </rPh>
    <rPh sb="7" eb="8">
      <t>リツ</t>
    </rPh>
    <phoneticPr fontId="2"/>
  </si>
  <si>
    <t>月額</t>
    <rPh sb="0" eb="1">
      <t>ツキ</t>
    </rPh>
    <rPh sb="1" eb="2">
      <t>ガク</t>
    </rPh>
    <phoneticPr fontId="2"/>
  </si>
  <si>
    <t>G.基準報酬額/月</t>
    <rPh sb="2" eb="4">
      <t>キジュン</t>
    </rPh>
    <rPh sb="4" eb="6">
      <t>ホウシュウ</t>
    </rPh>
    <rPh sb="6" eb="7">
      <t>ガク</t>
    </rPh>
    <rPh sb="8" eb="9">
      <t>ツキ</t>
    </rPh>
    <phoneticPr fontId="2"/>
  </si>
  <si>
    <t>千円　　　</t>
    <rPh sb="0" eb="2">
      <t>センエン</t>
    </rPh>
    <phoneticPr fontId="2"/>
  </si>
  <si>
    <t>H.受注報酬額/月</t>
    <rPh sb="2" eb="4">
      <t>ジュチュウ</t>
    </rPh>
    <rPh sb="4" eb="6">
      <t>ホウシュウ</t>
    </rPh>
    <rPh sb="6" eb="7">
      <t>ガク</t>
    </rPh>
    <rPh sb="8" eb="9">
      <t>ツキ</t>
    </rPh>
    <phoneticPr fontId="2"/>
  </si>
  <si>
    <t>I.発注率</t>
    <rPh sb="2" eb="4">
      <t>ハッチュウ</t>
    </rPh>
    <rPh sb="4" eb="5">
      <t>リツ</t>
    </rPh>
    <phoneticPr fontId="2"/>
  </si>
  <si>
    <t>％</t>
    <phoneticPr fontId="2"/>
  </si>
  <si>
    <t>[参考情報]</t>
    <rPh sb="1" eb="3">
      <t>サンコウ</t>
    </rPh>
    <rPh sb="3" eb="5">
      <t>ジョウホウ</t>
    </rPh>
    <phoneticPr fontId="2"/>
  </si>
  <si>
    <t>J.日当/月</t>
    <rPh sb="2" eb="4">
      <t>ニットウ</t>
    </rPh>
    <rPh sb="5" eb="6">
      <t>ツキ</t>
    </rPh>
    <phoneticPr fontId="2"/>
  </si>
  <si>
    <t>K.受注日当額/月</t>
    <rPh sb="2" eb="4">
      <t>ジュチュウ</t>
    </rPh>
    <rPh sb="4" eb="6">
      <t>ニットウ</t>
    </rPh>
    <rPh sb="6" eb="7">
      <t>ガク</t>
    </rPh>
    <rPh sb="8" eb="9">
      <t>ツキ</t>
    </rPh>
    <phoneticPr fontId="2"/>
  </si>
  <si>
    <t>外貨で受注の場合は、前月末ﾚｰﾄ換算で記載</t>
    <rPh sb="0" eb="2">
      <t>ガイカ</t>
    </rPh>
    <rPh sb="3" eb="5">
      <t>ジュチュウ</t>
    </rPh>
    <rPh sb="6" eb="8">
      <t>バアイ</t>
    </rPh>
    <rPh sb="10" eb="12">
      <t>ゼンゲツ</t>
    </rPh>
    <rPh sb="12" eb="13">
      <t>マツ</t>
    </rPh>
    <rPh sb="16" eb="18">
      <t>カンザン</t>
    </rPh>
    <rPh sb="19" eb="21">
      <t>キサイ</t>
    </rPh>
    <phoneticPr fontId="2"/>
  </si>
  <si>
    <t>L.報酬・日当合計額</t>
    <rPh sb="2" eb="4">
      <t>ホウシュウ</t>
    </rPh>
    <rPh sb="5" eb="7">
      <t>ニットウ</t>
    </rPh>
    <rPh sb="7" eb="9">
      <t>ゴウケイ</t>
    </rPh>
    <rPh sb="9" eb="10">
      <t>ガク</t>
    </rPh>
    <phoneticPr fontId="2"/>
  </si>
  <si>
    <t>参考発注率</t>
    <rPh sb="0" eb="2">
      <t>サンコウ</t>
    </rPh>
    <rPh sb="2" eb="4">
      <t>ハッチュウ</t>
    </rPh>
    <rPh sb="4" eb="5">
      <t>リツ</t>
    </rPh>
    <phoneticPr fontId="2"/>
  </si>
  <si>
    <t>M 同一案件へ同一先からの借上げ情報</t>
    <rPh sb="2" eb="4">
      <t>ドウイツ</t>
    </rPh>
    <rPh sb="4" eb="6">
      <t>アンケン</t>
    </rPh>
    <rPh sb="7" eb="9">
      <t>ドウイツ</t>
    </rPh>
    <rPh sb="9" eb="10">
      <t>サキ</t>
    </rPh>
    <rPh sb="13" eb="15">
      <t>カリア</t>
    </rPh>
    <rPh sb="16" eb="18">
      <t>ジョウホウ</t>
    </rPh>
    <phoneticPr fontId="2"/>
  </si>
  <si>
    <t>名</t>
    <rPh sb="0" eb="1">
      <t>メイ</t>
    </rPh>
    <phoneticPr fontId="2"/>
  </si>
  <si>
    <t>　　30,000千円以上は値引き交渉を実施のこと。</t>
    <rPh sb="8" eb="10">
      <t>センエン</t>
    </rPh>
    <rPh sb="10" eb="12">
      <t>イジョウ</t>
    </rPh>
    <rPh sb="13" eb="15">
      <t>ネビ</t>
    </rPh>
    <rPh sb="16" eb="18">
      <t>コウショウ</t>
    </rPh>
    <rPh sb="19" eb="21">
      <t>ジッシ</t>
    </rPh>
    <phoneticPr fontId="2"/>
  </si>
  <si>
    <t>-</t>
    <phoneticPr fontId="2"/>
  </si>
  <si>
    <t>次葉に続く</t>
    <rPh sb="0" eb="1">
      <t>ツ</t>
    </rPh>
    <rPh sb="1" eb="2">
      <t>ハ</t>
    </rPh>
    <rPh sb="3" eb="4">
      <t>ツヅ</t>
    </rPh>
    <phoneticPr fontId="2"/>
  </si>
  <si>
    <t>-</t>
    <phoneticPr fontId="2"/>
  </si>
  <si>
    <t>以下依頼部で必要事項を全て記入して下さい。</t>
    <rPh sb="0" eb="2">
      <t>イカ</t>
    </rPh>
    <rPh sb="2" eb="4">
      <t>イライ</t>
    </rPh>
    <rPh sb="4" eb="5">
      <t>ブ</t>
    </rPh>
    <rPh sb="6" eb="8">
      <t>ヒツヨウ</t>
    </rPh>
    <rPh sb="8" eb="10">
      <t>ジコウ</t>
    </rPh>
    <rPh sb="11" eb="12">
      <t>スベ</t>
    </rPh>
    <rPh sb="13" eb="15">
      <t>キニュウ</t>
    </rPh>
    <rPh sb="15" eb="18">
      <t>シテクダ</t>
    </rPh>
    <phoneticPr fontId="2"/>
  </si>
  <si>
    <t>N..日当区分</t>
    <rPh sb="3" eb="5">
      <t>ニットウ</t>
    </rPh>
    <rPh sb="5" eb="7">
      <t>クブン</t>
    </rPh>
    <phoneticPr fontId="2"/>
  </si>
  <si>
    <t>（注：該当する番号に</t>
    <rPh sb="1" eb="2">
      <t>チュウ</t>
    </rPh>
    <rPh sb="3" eb="5">
      <t>ガイトウ</t>
    </rPh>
    <rPh sb="7" eb="9">
      <t>バンゴウ</t>
    </rPh>
    <phoneticPr fontId="2"/>
  </si>
  <si>
    <t>□</t>
    <phoneticPr fontId="2"/>
  </si>
  <si>
    <t>JICA等よりの受注日当を全額支払う。</t>
    <rPh sb="4" eb="5">
      <t>トウ</t>
    </rPh>
    <rPh sb="8" eb="10">
      <t>ジュチュウ</t>
    </rPh>
    <rPh sb="10" eb="12">
      <t>ニットウ</t>
    </rPh>
    <rPh sb="13" eb="15">
      <t>ゼンガク</t>
    </rPh>
    <rPh sb="15" eb="17">
      <t>シハラ</t>
    </rPh>
    <phoneticPr fontId="2"/>
  </si>
  <si>
    <t>○を付す）</t>
    <rPh sb="2" eb="3">
      <t>フ</t>
    </rPh>
    <phoneticPr fontId="2"/>
  </si>
  <si>
    <t>□</t>
    <phoneticPr fontId="2"/>
  </si>
  <si>
    <t xml:space="preserve">その他 (                                                        </t>
    <rPh sb="0" eb="3">
      <t>ソノタ</t>
    </rPh>
    <phoneticPr fontId="2"/>
  </si>
  <si>
    <t>）</t>
    <phoneticPr fontId="2"/>
  </si>
  <si>
    <t>　　　　　支給方法</t>
    <rPh sb="5" eb="7">
      <t>シキュウ</t>
    </rPh>
    <rPh sb="7" eb="9">
      <t>ホウホウ</t>
    </rPh>
    <phoneticPr fontId="2"/>
  </si>
  <si>
    <t>□</t>
    <phoneticPr fontId="2"/>
  </si>
  <si>
    <t>現地貨</t>
    <rPh sb="0" eb="3">
      <t>ゲンチカ</t>
    </rPh>
    <phoneticPr fontId="2"/>
  </si>
  <si>
    <t>支払先</t>
    <rPh sb="0" eb="2">
      <t>シハライ</t>
    </rPh>
    <rPh sb="2" eb="3">
      <t>サキ</t>
    </rPh>
    <phoneticPr fontId="2"/>
  </si>
  <si>
    <t>□</t>
    <phoneticPr fontId="2"/>
  </si>
  <si>
    <t>会社振込</t>
    <rPh sb="0" eb="2">
      <t>カイシャ</t>
    </rPh>
    <rPh sb="2" eb="4">
      <t>フリコミ</t>
    </rPh>
    <phoneticPr fontId="2"/>
  </si>
  <si>
    <t>□</t>
    <phoneticPr fontId="2"/>
  </si>
  <si>
    <t>本人振込</t>
    <rPh sb="0" eb="2">
      <t>ホンニン</t>
    </rPh>
    <rPh sb="2" eb="4">
      <t>フリコミ</t>
    </rPh>
    <phoneticPr fontId="2"/>
  </si>
  <si>
    <t>本人現地払</t>
    <rPh sb="0" eb="2">
      <t>ホンニン</t>
    </rPh>
    <rPh sb="2" eb="4">
      <t>ゲンチ</t>
    </rPh>
    <rPh sb="4" eb="5">
      <t>バラ</t>
    </rPh>
    <phoneticPr fontId="2"/>
  </si>
  <si>
    <t>O.宿泊区分</t>
    <rPh sb="2" eb="4">
      <t>シュクハク</t>
    </rPh>
    <rPh sb="4" eb="6">
      <t>クブン</t>
    </rPh>
    <phoneticPr fontId="2"/>
  </si>
  <si>
    <t>□</t>
    <phoneticPr fontId="2"/>
  </si>
  <si>
    <t>社員に準じる。（US$57/Day)</t>
    <rPh sb="0" eb="2">
      <t>シャイン</t>
    </rPh>
    <rPh sb="3" eb="4">
      <t>ジュン</t>
    </rPh>
    <phoneticPr fontId="2"/>
  </si>
  <si>
    <t>P.基準超過理由</t>
    <rPh sb="2" eb="4">
      <t>キジュン</t>
    </rPh>
    <rPh sb="4" eb="6">
      <t>チョウカ</t>
    </rPh>
    <rPh sb="6" eb="8">
      <t>リユウ</t>
    </rPh>
    <phoneticPr fontId="2"/>
  </si>
  <si>
    <t>（実質調整率がプラス場合記入し、5％超の場合は事業部長、10％超の場合は事業本部長の事前承認を受けてから</t>
    <rPh sb="1" eb="3">
      <t>ジッシツ</t>
    </rPh>
    <rPh sb="3" eb="5">
      <t>チョウセイ</t>
    </rPh>
    <rPh sb="5" eb="6">
      <t>リツ</t>
    </rPh>
    <rPh sb="10" eb="12">
      <t>バアイ</t>
    </rPh>
    <rPh sb="12" eb="14">
      <t>キニュウ</t>
    </rPh>
    <rPh sb="18" eb="19">
      <t>チョウ</t>
    </rPh>
    <rPh sb="20" eb="22">
      <t>バアイ</t>
    </rPh>
    <rPh sb="23" eb="25">
      <t>ジギョウ</t>
    </rPh>
    <rPh sb="25" eb="27">
      <t>ブチョウ</t>
    </rPh>
    <rPh sb="31" eb="32">
      <t>チョウ</t>
    </rPh>
    <rPh sb="33" eb="35">
      <t>バアイ</t>
    </rPh>
    <rPh sb="36" eb="38">
      <t>ジギョウ</t>
    </rPh>
    <rPh sb="38" eb="41">
      <t>ホンブチョウ</t>
    </rPh>
    <rPh sb="42" eb="44">
      <t>ジゼン</t>
    </rPh>
    <rPh sb="44" eb="46">
      <t>ショウニン</t>
    </rPh>
    <rPh sb="47" eb="48">
      <t>ウ</t>
    </rPh>
    <phoneticPr fontId="2"/>
  </si>
  <si>
    <t>発注すること。なお、本フォームは承認後外注付託依頼書に添付のこと。）</t>
    <rPh sb="0" eb="2">
      <t>ハッチュウ</t>
    </rPh>
    <rPh sb="10" eb="11">
      <t>ホン</t>
    </rPh>
    <rPh sb="16" eb="18">
      <t>ショウニン</t>
    </rPh>
    <rPh sb="18" eb="19">
      <t>ゴ</t>
    </rPh>
    <rPh sb="19" eb="21">
      <t>ガイチュウ</t>
    </rPh>
    <rPh sb="21" eb="23">
      <t>フタク</t>
    </rPh>
    <rPh sb="23" eb="26">
      <t>イライショ</t>
    </rPh>
    <rPh sb="27" eb="29">
      <t>テンプ</t>
    </rPh>
    <phoneticPr fontId="2"/>
  </si>
  <si>
    <t>資料3-1</t>
    <rPh sb="0" eb="2">
      <t>シリョウ</t>
    </rPh>
    <phoneticPr fontId="2"/>
  </si>
  <si>
    <t>添付資料３：基準報酬額算出表</t>
    <rPh sb="0" eb="4">
      <t>テンプシリョウ</t>
    </rPh>
    <rPh sb="6" eb="8">
      <t>キジュン</t>
    </rPh>
    <rPh sb="8" eb="10">
      <t>ホウシュウ</t>
    </rPh>
    <rPh sb="10" eb="11">
      <t>ガク</t>
    </rPh>
    <rPh sb="11" eb="13">
      <t>サンシュツ</t>
    </rPh>
    <rPh sb="13" eb="14">
      <t>ヒョウ</t>
    </rPh>
    <phoneticPr fontId="2"/>
  </si>
  <si>
    <t>（単位：千円）</t>
    <rPh sb="1" eb="3">
      <t>タンイ</t>
    </rPh>
    <rPh sb="4" eb="6">
      <t>センエン</t>
    </rPh>
    <phoneticPr fontId="2"/>
  </si>
  <si>
    <t>●借上要員名</t>
    <rPh sb="1" eb="3">
      <t>カリアゲ</t>
    </rPh>
    <rPh sb="3" eb="5">
      <t>ヨウイン</t>
    </rPh>
    <rPh sb="5" eb="6">
      <t>メイ</t>
    </rPh>
    <phoneticPr fontId="2"/>
  </si>
  <si>
    <t>●所属</t>
    <rPh sb="1" eb="3">
      <t>ショゾク</t>
    </rPh>
    <phoneticPr fontId="2"/>
  </si>
  <si>
    <t>●業務経験年数</t>
    <rPh sb="1" eb="3">
      <t>ギョウム</t>
    </rPh>
    <rPh sb="3" eb="5">
      <t>ケイケン</t>
    </rPh>
    <rPh sb="5" eb="7">
      <t>ネンスウ</t>
    </rPh>
    <phoneticPr fontId="2"/>
  </si>
  <si>
    <t>NK</t>
    <phoneticPr fontId="2"/>
  </si>
  <si>
    <t>相当</t>
    <rPh sb="0" eb="2">
      <t>ソウトウ</t>
    </rPh>
    <phoneticPr fontId="2"/>
  </si>
  <si>
    <t>a．社内賃率人件費</t>
    <rPh sb="2" eb="4">
      <t>シャナイ</t>
    </rPh>
    <rPh sb="4" eb="6">
      <t>チンリツ</t>
    </rPh>
    <rPh sb="6" eb="9">
      <t>ジンケンヒ</t>
    </rPh>
    <phoneticPr fontId="2"/>
  </si>
  <si>
    <t>千円/月</t>
    <rPh sb="0" eb="2">
      <t>センエン</t>
    </rPh>
    <rPh sb="3" eb="4">
      <t>ツキ</t>
    </rPh>
    <phoneticPr fontId="2"/>
  </si>
  <si>
    <t>b．諸経費</t>
    <rPh sb="2" eb="5">
      <t>ショケイヒ</t>
    </rPh>
    <phoneticPr fontId="2"/>
  </si>
  <si>
    <t>a</t>
    <phoneticPr fontId="2"/>
  </si>
  <si>
    <t>b</t>
    <phoneticPr fontId="2"/>
  </si>
  <si>
    <t>c</t>
    <phoneticPr fontId="2"/>
  </si>
  <si>
    <t>d</t>
    <phoneticPr fontId="2"/>
  </si>
  <si>
    <t>e</t>
    <phoneticPr fontId="2"/>
  </si>
  <si>
    <t>f</t>
    <phoneticPr fontId="2"/>
  </si>
  <si>
    <t>g</t>
    <phoneticPr fontId="2"/>
  </si>
  <si>
    <t>h1</t>
    <phoneticPr fontId="2"/>
  </si>
  <si>
    <t>h2</t>
    <phoneticPr fontId="2"/>
  </si>
  <si>
    <t>h3</t>
    <phoneticPr fontId="2"/>
  </si>
  <si>
    <t>区分入力</t>
    <rPh sb="0" eb="2">
      <t>クブン</t>
    </rPh>
    <rPh sb="2" eb="4">
      <t>ニュウリョク</t>
    </rPh>
    <phoneticPr fontId="2"/>
  </si>
  <si>
    <t>諸経費率</t>
    <rPh sb="0" eb="3">
      <t>ショケイヒ</t>
    </rPh>
    <rPh sb="3" eb="4">
      <t>リツ</t>
    </rPh>
    <phoneticPr fontId="2"/>
  </si>
  <si>
    <t>１．技術能力</t>
    <rPh sb="2" eb="4">
      <t>ギジュツ</t>
    </rPh>
    <rPh sb="4" eb="6">
      <t>ノウリョク</t>
    </rPh>
    <phoneticPr fontId="2"/>
  </si>
  <si>
    <t>１－１</t>
    <phoneticPr fontId="2"/>
  </si>
  <si>
    <t>公的資格</t>
    <rPh sb="0" eb="4">
      <t>コウテキシカク</t>
    </rPh>
    <phoneticPr fontId="2"/>
  </si>
  <si>
    <t>a</t>
    <phoneticPr fontId="2"/>
  </si>
  <si>
    <t>博士・技術士・PMP・一級建築士・高度情報処理技術者・弁護士・公認会計士・税理士</t>
    <rPh sb="0" eb="2">
      <t>ハカセ</t>
    </rPh>
    <rPh sb="3" eb="6">
      <t>ギジュツシ</t>
    </rPh>
    <rPh sb="11" eb="13">
      <t>イッキュウ</t>
    </rPh>
    <rPh sb="13" eb="16">
      <t>ケンチクシ</t>
    </rPh>
    <rPh sb="17" eb="19">
      <t>コウド</t>
    </rPh>
    <rPh sb="19" eb="21">
      <t>ジョウホウ</t>
    </rPh>
    <rPh sb="21" eb="23">
      <t>ショリ</t>
    </rPh>
    <rPh sb="23" eb="26">
      <t>ギジュツシャ</t>
    </rPh>
    <rPh sb="27" eb="30">
      <t>ベンゴシ</t>
    </rPh>
    <rPh sb="31" eb="33">
      <t>コウニン</t>
    </rPh>
    <rPh sb="33" eb="35">
      <t>カイケイ</t>
    </rPh>
    <rPh sb="35" eb="36">
      <t>シ</t>
    </rPh>
    <rPh sb="37" eb="40">
      <t>ゼイリシ</t>
    </rPh>
    <phoneticPr fontId="2"/>
  </si>
  <si>
    <t>（証明書添付のこと。添付のない場合はｃ評価。）</t>
    <rPh sb="1" eb="4">
      <t>ショウメイショ</t>
    </rPh>
    <rPh sb="4" eb="6">
      <t>テンプ</t>
    </rPh>
    <rPh sb="10" eb="12">
      <t>テンプ</t>
    </rPh>
    <rPh sb="15" eb="17">
      <t>バアイ</t>
    </rPh>
    <rPh sb="19" eb="21">
      <t>ヒョウカ</t>
    </rPh>
    <phoneticPr fontId="2"/>
  </si>
  <si>
    <t>b</t>
    <phoneticPr fontId="2"/>
  </si>
  <si>
    <t>業務上有効なその他の資格</t>
    <rPh sb="0" eb="3">
      <t>ギョウムジョウ</t>
    </rPh>
    <rPh sb="3" eb="5">
      <t>ユウコウ</t>
    </rPh>
    <rPh sb="8" eb="9">
      <t>タ</t>
    </rPh>
    <rPh sb="10" eb="12">
      <t>シカク</t>
    </rPh>
    <phoneticPr fontId="2"/>
  </si>
  <si>
    <t>c</t>
    <phoneticPr fontId="2"/>
  </si>
  <si>
    <t>有効な資格なし</t>
    <rPh sb="0" eb="2">
      <t>ユウコウ</t>
    </rPh>
    <rPh sb="3" eb="5">
      <t>シカク</t>
    </rPh>
    <phoneticPr fontId="2"/>
  </si>
  <si>
    <t>１－２</t>
    <phoneticPr fontId="2"/>
  </si>
  <si>
    <t>英語区分</t>
    <rPh sb="0" eb="2">
      <t>エイゴ</t>
    </rPh>
    <rPh sb="2" eb="4">
      <t>クブン</t>
    </rPh>
    <phoneticPr fontId="2"/>
  </si>
  <si>
    <t>語学能力</t>
    <rPh sb="0" eb="2">
      <t>ゴガク</t>
    </rPh>
    <rPh sb="2" eb="4">
      <t>ノウリョク</t>
    </rPh>
    <phoneticPr fontId="2"/>
  </si>
  <si>
    <t>a</t>
    <phoneticPr fontId="2"/>
  </si>
  <si>
    <t>840以上</t>
    <rPh sb="3" eb="5">
      <t>イジョウ</t>
    </rPh>
    <phoneticPr fontId="2"/>
  </si>
  <si>
    <t>(TOEIC換算）</t>
    <rPh sb="6" eb="8">
      <t>カンザン</t>
    </rPh>
    <phoneticPr fontId="2"/>
  </si>
  <si>
    <t>b</t>
    <phoneticPr fontId="2"/>
  </si>
  <si>
    <t>730-839</t>
    <phoneticPr fontId="2"/>
  </si>
  <si>
    <t>（ｽｺｱｼｰﾄ添付のこと。添付のない場合はｃ評価。）</t>
    <rPh sb="7" eb="9">
      <t>テンプ</t>
    </rPh>
    <rPh sb="13" eb="15">
      <t>テンプ</t>
    </rPh>
    <rPh sb="18" eb="20">
      <t>バアイ</t>
    </rPh>
    <rPh sb="22" eb="24">
      <t>ヒョウカ</t>
    </rPh>
    <phoneticPr fontId="2"/>
  </si>
  <si>
    <t>c</t>
    <phoneticPr fontId="2"/>
  </si>
  <si>
    <t>600-729</t>
    <phoneticPr fontId="2"/>
  </si>
  <si>
    <t>d</t>
    <phoneticPr fontId="2"/>
  </si>
  <si>
    <t>599以下</t>
    <rPh sb="3" eb="5">
      <t>イカ</t>
    </rPh>
    <phoneticPr fontId="2"/>
  </si>
  <si>
    <t>その他語学区分</t>
    <rPh sb="0" eb="3">
      <t>ソノタ</t>
    </rPh>
    <rPh sb="3" eb="5">
      <t>ゴガク</t>
    </rPh>
    <rPh sb="5" eb="7">
      <t>クブン</t>
    </rPh>
    <phoneticPr fontId="2"/>
  </si>
  <si>
    <t>e</t>
    <phoneticPr fontId="2"/>
  </si>
  <si>
    <t>業務上有効なその他の資語学</t>
    <rPh sb="0" eb="3">
      <t>ギョウムジョウ</t>
    </rPh>
    <rPh sb="3" eb="5">
      <t>ユウコウ</t>
    </rPh>
    <rPh sb="8" eb="9">
      <t>タ</t>
    </rPh>
    <rPh sb="10" eb="11">
      <t>シカク</t>
    </rPh>
    <rPh sb="11" eb="13">
      <t>ゴガク</t>
    </rPh>
    <phoneticPr fontId="2"/>
  </si>
  <si>
    <t>英語</t>
    <rPh sb="0" eb="2">
      <t>エイゴ</t>
    </rPh>
    <phoneticPr fontId="2"/>
  </si>
  <si>
    <t>資料3-2</t>
    <rPh sb="0" eb="2">
      <t>シリョウ</t>
    </rPh>
    <phoneticPr fontId="2"/>
  </si>
  <si>
    <t>１－３</t>
    <phoneticPr fontId="2"/>
  </si>
  <si>
    <t>実績</t>
    <rPh sb="0" eb="2">
      <t>ジッセキ</t>
    </rPh>
    <phoneticPr fontId="2"/>
  </si>
  <si>
    <t>aa</t>
    <phoneticPr fontId="2"/>
  </si>
  <si>
    <t>a</t>
    <phoneticPr fontId="2"/>
  </si>
  <si>
    <t>（ISO直近の事後評価に準拠。評価を行なっていない場合はE評価。）</t>
    <rPh sb="4" eb="5">
      <t>チョク</t>
    </rPh>
    <rPh sb="5" eb="6">
      <t>キン</t>
    </rPh>
    <rPh sb="7" eb="9">
      <t>ジゴ</t>
    </rPh>
    <rPh sb="9" eb="11">
      <t>ヒョウカ</t>
    </rPh>
    <rPh sb="12" eb="14">
      <t>ジュンキョ</t>
    </rPh>
    <rPh sb="15" eb="17">
      <t>ヒョウカ</t>
    </rPh>
    <rPh sb="18" eb="19">
      <t>オコ</t>
    </rPh>
    <rPh sb="25" eb="27">
      <t>バアイ</t>
    </rPh>
    <rPh sb="29" eb="31">
      <t>ヒョウカ</t>
    </rPh>
    <phoneticPr fontId="2"/>
  </si>
  <si>
    <t>b</t>
    <phoneticPr fontId="2"/>
  </si>
  <si>
    <t>c</t>
    <phoneticPr fontId="2"/>
  </si>
  <si>
    <t>d</t>
    <phoneticPr fontId="2"/>
  </si>
  <si>
    <t>e</t>
    <phoneticPr fontId="2"/>
  </si>
  <si>
    <t>左記基準に従い限度額以内で1万円単位</t>
    <rPh sb="0" eb="1">
      <t>ヒダリ</t>
    </rPh>
    <rPh sb="1" eb="2">
      <t>ジョウキ</t>
    </rPh>
    <rPh sb="2" eb="4">
      <t>キジュン</t>
    </rPh>
    <rPh sb="5" eb="6">
      <t>シタガ</t>
    </rPh>
    <rPh sb="7" eb="9">
      <t>ゲンド</t>
    </rPh>
    <rPh sb="9" eb="10">
      <t>ガク</t>
    </rPh>
    <rPh sb="10" eb="12">
      <t>イナイ</t>
    </rPh>
    <rPh sb="13" eb="16">
      <t>１マンエン</t>
    </rPh>
    <rPh sb="16" eb="18">
      <t>タンイ</t>
    </rPh>
    <phoneticPr fontId="2"/>
  </si>
  <si>
    <t>ｆ</t>
    <phoneticPr fontId="2"/>
  </si>
  <si>
    <t>で評価する。</t>
    <rPh sb="1" eb="3">
      <t>ヒョウカ</t>
    </rPh>
    <phoneticPr fontId="2"/>
  </si>
  <si>
    <t>限度額</t>
    <rPh sb="0" eb="2">
      <t>ゲンド</t>
    </rPh>
    <rPh sb="2" eb="3">
      <t>ガク</t>
    </rPh>
    <phoneticPr fontId="2"/>
  </si>
  <si>
    <t>技術能力評価合計</t>
    <rPh sb="0" eb="2">
      <t>ギジュツ</t>
    </rPh>
    <rPh sb="2" eb="4">
      <t>ノウリョク</t>
    </rPh>
    <rPh sb="4" eb="6">
      <t>ヒョウカ</t>
    </rPh>
    <rPh sb="6" eb="8">
      <t>ゴウケイ</t>
    </rPh>
    <phoneticPr fontId="2"/>
  </si>
  <si>
    <t>２．作業条件</t>
    <rPh sb="2" eb="4">
      <t>サギョウ</t>
    </rPh>
    <rPh sb="4" eb="6">
      <t>ジョウケン</t>
    </rPh>
    <phoneticPr fontId="2"/>
  </si>
  <si>
    <t>２－１</t>
    <phoneticPr fontId="2"/>
  </si>
  <si>
    <t>派遣期間入力</t>
    <rPh sb="0" eb="2">
      <t>ハケン</t>
    </rPh>
    <rPh sb="2" eb="4">
      <t>キカン</t>
    </rPh>
    <rPh sb="4" eb="6">
      <t>ニュウリョク</t>
    </rPh>
    <phoneticPr fontId="2"/>
  </si>
  <si>
    <t>M/M</t>
    <phoneticPr fontId="2"/>
  </si>
  <si>
    <t>派遣期間</t>
    <rPh sb="0" eb="2">
      <t>ハケン</t>
    </rPh>
    <rPh sb="2" eb="4">
      <t>キカン</t>
    </rPh>
    <phoneticPr fontId="2"/>
  </si>
  <si>
    <t>２－２</t>
    <phoneticPr fontId="2"/>
  </si>
  <si>
    <t>業務内容</t>
    <rPh sb="0" eb="2">
      <t>ギョウム</t>
    </rPh>
    <rPh sb="2" eb="4">
      <t>ナイヨウ</t>
    </rPh>
    <phoneticPr fontId="2"/>
  </si>
  <si>
    <t>a</t>
    <phoneticPr fontId="2"/>
  </si>
  <si>
    <t>総括・ﾁｰﾑﾘｰﾀﾞｰ</t>
    <rPh sb="0" eb="2">
      <t>ソウカツ</t>
    </rPh>
    <phoneticPr fontId="2"/>
  </si>
  <si>
    <t>d</t>
    <phoneticPr fontId="2"/>
  </si>
  <si>
    <t>設計・施工監理業務</t>
    <rPh sb="0" eb="2">
      <t>セッケイ</t>
    </rPh>
    <rPh sb="3" eb="5">
      <t>セコウ</t>
    </rPh>
    <rPh sb="5" eb="7">
      <t>カンリ</t>
    </rPh>
    <rPh sb="7" eb="9">
      <t>ギョウム</t>
    </rPh>
    <phoneticPr fontId="2"/>
  </si>
  <si>
    <t>e</t>
    <phoneticPr fontId="2"/>
  </si>
  <si>
    <t>その他補助的業務</t>
    <rPh sb="0" eb="3">
      <t>ソノタ</t>
    </rPh>
    <rPh sb="3" eb="5">
      <t>ホジョ</t>
    </rPh>
    <rPh sb="5" eb="6">
      <t>テキ</t>
    </rPh>
    <rPh sb="6" eb="8">
      <t>ギョウム</t>
    </rPh>
    <phoneticPr fontId="2"/>
  </si>
  <si>
    <t>２－3</t>
    <phoneticPr fontId="2"/>
  </si>
  <si>
    <t>作業環境</t>
    <rPh sb="0" eb="2">
      <t>サギョウ</t>
    </rPh>
    <rPh sb="2" eb="4">
      <t>カンキョウ</t>
    </rPh>
    <phoneticPr fontId="2"/>
  </si>
  <si>
    <t>a</t>
    <phoneticPr fontId="2"/>
  </si>
  <si>
    <t>3000円以上</t>
    <rPh sb="4" eb="5">
      <t>エン</t>
    </rPh>
    <rPh sb="5" eb="7">
      <t>イジョウ</t>
    </rPh>
    <phoneticPr fontId="2"/>
  </si>
  <si>
    <t>（国外旅費規定の特別加給手当基準に準拠）</t>
    <rPh sb="1" eb="3">
      <t>コクガイ</t>
    </rPh>
    <rPh sb="3" eb="5">
      <t>リョヒ</t>
    </rPh>
    <rPh sb="5" eb="7">
      <t>キテイ</t>
    </rPh>
    <rPh sb="8" eb="10">
      <t>トクベツ</t>
    </rPh>
    <rPh sb="10" eb="12">
      <t>カキュウ</t>
    </rPh>
    <rPh sb="12" eb="14">
      <t>テアテ</t>
    </rPh>
    <rPh sb="14" eb="16">
      <t>キジュン</t>
    </rPh>
    <rPh sb="17" eb="19">
      <t>ジュンキョ</t>
    </rPh>
    <phoneticPr fontId="2"/>
  </si>
  <si>
    <t>b</t>
    <phoneticPr fontId="2"/>
  </si>
  <si>
    <t>1500円以上3000円未満</t>
    <rPh sb="4" eb="5">
      <t>エン</t>
    </rPh>
    <rPh sb="5" eb="7">
      <t>イジョウ</t>
    </rPh>
    <rPh sb="11" eb="12">
      <t>エン</t>
    </rPh>
    <rPh sb="12" eb="14">
      <t>ミマン</t>
    </rPh>
    <phoneticPr fontId="2"/>
  </si>
  <si>
    <t>c</t>
    <phoneticPr fontId="2"/>
  </si>
  <si>
    <t>1500円未満</t>
    <rPh sb="4" eb="5">
      <t>エン</t>
    </rPh>
    <rPh sb="5" eb="7">
      <t>ミマン</t>
    </rPh>
    <phoneticPr fontId="2"/>
  </si>
  <si>
    <t>作業条件評価合計</t>
    <rPh sb="0" eb="2">
      <t>サギョウ</t>
    </rPh>
    <rPh sb="2" eb="4">
      <t>ジョウケン</t>
    </rPh>
    <rPh sb="4" eb="6">
      <t>ヒョウカ</t>
    </rPh>
    <rPh sb="6" eb="8">
      <t>ゴウケイ</t>
    </rPh>
    <phoneticPr fontId="2"/>
  </si>
  <si>
    <t>c. 技術能力評価・作業条件評価合計</t>
    <rPh sb="3" eb="5">
      <t>ギジュツ</t>
    </rPh>
    <rPh sb="5" eb="7">
      <t>ノウリョク</t>
    </rPh>
    <rPh sb="7" eb="9">
      <t>ヒョウカ</t>
    </rPh>
    <rPh sb="10" eb="12">
      <t>サギョウ</t>
    </rPh>
    <rPh sb="12" eb="14">
      <t>ジョウケン</t>
    </rPh>
    <rPh sb="14" eb="16">
      <t>ヒョウカ</t>
    </rPh>
    <rPh sb="16" eb="18">
      <t>ゴウケイ</t>
    </rPh>
    <phoneticPr fontId="2"/>
  </si>
  <si>
    <t>ｄ．最終調整</t>
    <rPh sb="2" eb="4">
      <t>サイシュウ</t>
    </rPh>
    <rPh sb="4" eb="6">
      <t>チョウセイ</t>
    </rPh>
    <phoneticPr fontId="2"/>
  </si>
  <si>
    <t>調整前報酬額　（ａ＋ｂ＋ｃ）</t>
    <rPh sb="0" eb="2">
      <t>チョウセイ</t>
    </rPh>
    <rPh sb="2" eb="3">
      <t>マエ</t>
    </rPh>
    <rPh sb="3" eb="5">
      <t>ホウシュウ</t>
    </rPh>
    <rPh sb="5" eb="6">
      <t>ガク</t>
    </rPh>
    <phoneticPr fontId="2"/>
  </si>
  <si>
    <t>加算調整</t>
    <rPh sb="0" eb="2">
      <t>カサン</t>
    </rPh>
    <rPh sb="2" eb="4">
      <t>チョウセイ</t>
    </rPh>
    <phoneticPr fontId="2"/>
  </si>
  <si>
    <t>減算調整</t>
    <rPh sb="0" eb="2">
      <t>ゲンサン</t>
    </rPh>
    <rPh sb="2" eb="4">
      <t>チョウセイ</t>
    </rPh>
    <phoneticPr fontId="2"/>
  </si>
  <si>
    <t>日当調整　（</t>
    <rPh sb="0" eb="2">
      <t>ニットウ</t>
    </rPh>
    <rPh sb="2" eb="4">
      <t>チョウセイ</t>
    </rPh>
    <phoneticPr fontId="2"/>
  </si>
  <si>
    <t>当社標準日当を月額150千円とする）</t>
    <rPh sb="0" eb="2">
      <t>トウシャ</t>
    </rPh>
    <rPh sb="2" eb="4">
      <t>ヒョウジュン</t>
    </rPh>
    <rPh sb="4" eb="6">
      <t>ニットウ</t>
    </rPh>
    <rPh sb="7" eb="9">
      <t>ゲツガク</t>
    </rPh>
    <rPh sb="12" eb="14">
      <t>センエン</t>
    </rPh>
    <phoneticPr fontId="2"/>
  </si>
  <si>
    <t>調整合計</t>
    <rPh sb="0" eb="2">
      <t>チョウセイ</t>
    </rPh>
    <rPh sb="2" eb="4">
      <t>ゴウケイ</t>
    </rPh>
    <phoneticPr fontId="2"/>
  </si>
  <si>
    <t>基準報酬額（日当は含まない）</t>
    <rPh sb="0" eb="2">
      <t>キジュン</t>
    </rPh>
    <rPh sb="2" eb="4">
      <t>ホウシュウ</t>
    </rPh>
    <rPh sb="4" eb="5">
      <t>ガク</t>
    </rPh>
    <rPh sb="6" eb="8">
      <t>ニットウ</t>
    </rPh>
    <rPh sb="9" eb="10">
      <t>フク</t>
    </rPh>
    <phoneticPr fontId="2"/>
  </si>
  <si>
    <t>Cb</t>
    <phoneticPr fontId="2"/>
  </si>
  <si>
    <t>Ca</t>
    <phoneticPr fontId="2"/>
  </si>
  <si>
    <t>Bb</t>
    <phoneticPr fontId="2"/>
  </si>
  <si>
    <t>Ba</t>
    <phoneticPr fontId="2"/>
  </si>
  <si>
    <t>Ab</t>
    <phoneticPr fontId="2"/>
  </si>
  <si>
    <t>Aa</t>
    <phoneticPr fontId="2"/>
  </si>
  <si>
    <t>Ca</t>
  </si>
  <si>
    <t>発注情報入力項目【事務部門入力項目】</t>
    <rPh sb="0" eb="2">
      <t>ハッチュウ</t>
    </rPh>
    <rPh sb="2" eb="4">
      <t>ジョウホウ</t>
    </rPh>
    <rPh sb="4" eb="6">
      <t>ニュウリョク</t>
    </rPh>
    <rPh sb="6" eb="8">
      <t>コウモク</t>
    </rPh>
    <rPh sb="9" eb="11">
      <t>ジム</t>
    </rPh>
    <rPh sb="11" eb="13">
      <t>ブモン</t>
    </rPh>
    <rPh sb="13" eb="15">
      <t>ニュウリョク</t>
    </rPh>
    <rPh sb="15" eb="17">
      <t>コウモク</t>
    </rPh>
    <phoneticPr fontId="2"/>
  </si>
  <si>
    <t>AA</t>
  </si>
  <si>
    <t>BA</t>
  </si>
  <si>
    <t>CA</t>
  </si>
  <si>
    <t>DA</t>
  </si>
  <si>
    <t>DC</t>
  </si>
  <si>
    <t>DF</t>
  </si>
  <si>
    <t>DG</t>
  </si>
  <si>
    <t>DH</t>
  </si>
  <si>
    <t>DJ</t>
  </si>
  <si>
    <t>DM</t>
  </si>
  <si>
    <t>DP</t>
  </si>
  <si>
    <t>DS</t>
  </si>
  <si>
    <t>DT</t>
  </si>
  <si>
    <t>JA</t>
  </si>
  <si>
    <t>PA</t>
  </si>
  <si>
    <t>PC</t>
  </si>
  <si>
    <t>PD</t>
  </si>
  <si>
    <t>PE</t>
  </si>
  <si>
    <t>TA</t>
  </si>
  <si>
    <t>JA</t>
    <phoneticPr fontId="2"/>
  </si>
  <si>
    <t>借上外注付託変更依頼/兼稟議書</t>
    <rPh sb="0" eb="2">
      <t>カリア</t>
    </rPh>
    <rPh sb="2" eb="4">
      <t>ガイチュウ</t>
    </rPh>
    <rPh sb="4" eb="6">
      <t>フタク</t>
    </rPh>
    <rPh sb="6" eb="8">
      <t>ヘンコウ</t>
    </rPh>
    <rPh sb="8" eb="10">
      <t>イライ</t>
    </rPh>
    <rPh sb="11" eb="12">
      <t>ケン</t>
    </rPh>
    <rPh sb="12" eb="15">
      <t>リンギショ</t>
    </rPh>
    <phoneticPr fontId="2"/>
  </si>
  <si>
    <t>\</t>
    <phoneticPr fontId="2"/>
  </si>
  <si>
    <t>－</t>
    <phoneticPr fontId="2"/>
  </si>
  <si>
    <t>※２</t>
    <phoneticPr fontId="2"/>
  </si>
  <si>
    <t>下記の通り支給</t>
    <rPh sb="0" eb="2">
      <t>カキ</t>
    </rPh>
    <rPh sb="3" eb="4">
      <t>トオ</t>
    </rPh>
    <rPh sb="5" eb="7">
      <t>シキュウ</t>
    </rPh>
    <phoneticPr fontId="2"/>
  </si>
  <si>
    <t>様</t>
    <rPh sb="0" eb="1">
      <t>サマ</t>
    </rPh>
    <phoneticPr fontId="2"/>
  </si>
  <si>
    <t>様にご依頼致します業務内容は、下記の通りです。宜しくご協力の程お願い申し上げます。</t>
    <phoneticPr fontId="2"/>
  </si>
  <si>
    <t>発注額(税込)</t>
    <rPh sb="0" eb="2">
      <t>ハッチュウ</t>
    </rPh>
    <rPh sb="2" eb="3">
      <t>ガク</t>
    </rPh>
    <rPh sb="4" eb="5">
      <t>ゼイ</t>
    </rPh>
    <rPh sb="5" eb="6">
      <t>コ</t>
    </rPh>
    <phoneticPr fontId="2"/>
  </si>
  <si>
    <t>振込先</t>
    <rPh sb="0" eb="2">
      <t>フリコミ</t>
    </rPh>
    <rPh sb="2" eb="3">
      <t>サキ</t>
    </rPh>
    <phoneticPr fontId="2"/>
  </si>
  <si>
    <t>支店名</t>
    <rPh sb="0" eb="3">
      <t>シテンメイ</t>
    </rPh>
    <phoneticPr fontId="2"/>
  </si>
  <si>
    <t>口座種別</t>
    <rPh sb="0" eb="2">
      <t>コウザ</t>
    </rPh>
    <rPh sb="2" eb="4">
      <t>シュベツ</t>
    </rPh>
    <phoneticPr fontId="2"/>
  </si>
  <si>
    <t>口座番号</t>
    <rPh sb="0" eb="2">
      <t>コウザ</t>
    </rPh>
    <rPh sb="2" eb="4">
      <t>バンゴウ</t>
    </rPh>
    <phoneticPr fontId="2"/>
  </si>
  <si>
    <t>口座名義</t>
    <rPh sb="0" eb="2">
      <t>コウザ</t>
    </rPh>
    <rPh sb="2" eb="4">
      <t>メイギ</t>
    </rPh>
    <phoneticPr fontId="2"/>
  </si>
  <si>
    <t>金融機関名</t>
    <rPh sb="0" eb="2">
      <t>キンユウ</t>
    </rPh>
    <rPh sb="2" eb="4">
      <t>キカン</t>
    </rPh>
    <rPh sb="4" eb="5">
      <t>メイ</t>
    </rPh>
    <phoneticPr fontId="2"/>
  </si>
  <si>
    <t>※下記振込先に変更がある場合は、お手数ですが朱書きにて修正の上、ご連絡願います。</t>
    <phoneticPr fontId="2"/>
  </si>
  <si>
    <t>海外業務部長</t>
    <rPh sb="0" eb="2">
      <t>カイガイ</t>
    </rPh>
    <rPh sb="2" eb="4">
      <t>ギョウム</t>
    </rPh>
    <rPh sb="4" eb="6">
      <t>ブチョウ</t>
    </rPh>
    <phoneticPr fontId="2"/>
  </si>
  <si>
    <t>20　　　　　/　　　　　/</t>
    <phoneticPr fontId="2"/>
  </si>
  <si>
    <t>E.その他</t>
    <phoneticPr fontId="2"/>
  </si>
  <si>
    <t>ＣＣ（最大4名まで送信可）</t>
    <rPh sb="3" eb="5">
      <t>サイダイ</t>
    </rPh>
    <rPh sb="6" eb="7">
      <t>メイ</t>
    </rPh>
    <rPh sb="9" eb="11">
      <t>ソウシン</t>
    </rPh>
    <rPh sb="11" eb="12">
      <t>カ</t>
    </rPh>
    <phoneticPr fontId="2"/>
  </si>
  <si>
    <t>３．担当業務　　 ：</t>
    <rPh sb="2" eb="4">
      <t>タントウ</t>
    </rPh>
    <rPh sb="4" eb="6">
      <t>ギョウム</t>
    </rPh>
    <phoneticPr fontId="2"/>
  </si>
  <si>
    <t>４．業務委託期間：</t>
    <rPh sb="2" eb="4">
      <t>ギョウム</t>
    </rPh>
    <rPh sb="4" eb="6">
      <t>イタク</t>
    </rPh>
    <rPh sb="6" eb="8">
      <t>キカン</t>
    </rPh>
    <phoneticPr fontId="2"/>
  </si>
  <si>
    <t>５．委託費　　：</t>
    <rPh sb="2" eb="4">
      <t>イタク</t>
    </rPh>
    <rPh sb="4" eb="5">
      <t>ヒ</t>
    </rPh>
    <phoneticPr fontId="2"/>
  </si>
  <si>
    <t>６．特約条件　：</t>
    <rPh sb="2" eb="4">
      <t>トクヤク</t>
    </rPh>
    <rPh sb="4" eb="6">
      <t>ジョウケン</t>
    </rPh>
    <phoneticPr fontId="2"/>
  </si>
  <si>
    <t>８．その他　　 ：</t>
    <rPh sb="4" eb="5">
      <t>タ</t>
    </rPh>
    <phoneticPr fontId="2"/>
  </si>
  <si>
    <t>５．委託費　　　：</t>
    <rPh sb="2" eb="4">
      <t>イタク</t>
    </rPh>
    <rPh sb="4" eb="5">
      <t>ヒ</t>
    </rPh>
    <phoneticPr fontId="2"/>
  </si>
  <si>
    <t>J'sNAVIにて精算</t>
    <rPh sb="9" eb="11">
      <t>セイサン</t>
    </rPh>
    <phoneticPr fontId="2"/>
  </si>
  <si>
    <t>従業員区分</t>
    <rPh sb="0" eb="3">
      <t>ジュウギョウイン</t>
    </rPh>
    <rPh sb="3" eb="5">
      <t>クブン</t>
    </rPh>
    <phoneticPr fontId="2"/>
  </si>
  <si>
    <t>アソシエイツ</t>
    <phoneticPr fontId="2"/>
  </si>
  <si>
    <t>契約社員B</t>
    <rPh sb="0" eb="2">
      <t>ケイヤク</t>
    </rPh>
    <rPh sb="2" eb="4">
      <t>シャイン</t>
    </rPh>
    <phoneticPr fontId="2"/>
  </si>
  <si>
    <t>嘱託</t>
    <rPh sb="0" eb="2">
      <t>ショクタク</t>
    </rPh>
    <phoneticPr fontId="2"/>
  </si>
  <si>
    <t>事業本部長</t>
    <rPh sb="0" eb="2">
      <t>ジギョウ</t>
    </rPh>
    <rPh sb="2" eb="5">
      <t>ホンブチョウ</t>
    </rPh>
    <phoneticPr fontId="2"/>
  </si>
  <si>
    <t>課長</t>
    <rPh sb="0" eb="2">
      <t>カチョウ</t>
    </rPh>
    <phoneticPr fontId="2"/>
  </si>
  <si>
    <t>ディスカウントエコノミー</t>
    <phoneticPr fontId="2"/>
  </si>
  <si>
    <t>ノーマルエコノミー</t>
    <phoneticPr fontId="2"/>
  </si>
  <si>
    <t>ディスカウントビジネス</t>
    <phoneticPr fontId="2"/>
  </si>
  <si>
    <t>ノーマルビジネス</t>
    <phoneticPr fontId="2"/>
  </si>
  <si>
    <t>備考　（</t>
    <rPh sb="0" eb="2">
      <t>ビコウ</t>
    </rPh>
    <phoneticPr fontId="2"/>
  </si>
  <si>
    <t>※実行予算の添付が無い場合その理由を記載すること</t>
    <rPh sb="1" eb="3">
      <t>ジッコウ</t>
    </rPh>
    <rPh sb="3" eb="5">
      <t>ヨサン</t>
    </rPh>
    <rPh sb="6" eb="8">
      <t>テンプ</t>
    </rPh>
    <rPh sb="9" eb="10">
      <t>ナ</t>
    </rPh>
    <rPh sb="11" eb="13">
      <t>バアイ</t>
    </rPh>
    <rPh sb="15" eb="17">
      <t>リユウ</t>
    </rPh>
    <rPh sb="18" eb="20">
      <t>キサイ</t>
    </rPh>
    <phoneticPr fontId="2"/>
  </si>
  <si>
    <t>理由：（</t>
    <rPh sb="0" eb="2">
      <t>リユウ</t>
    </rPh>
    <phoneticPr fontId="2"/>
  </si>
  <si>
    <t>拝啓、貴社ますますご清祥のこととお喜び申し上げます。</t>
    <phoneticPr fontId="2"/>
  </si>
  <si>
    <t>なお、毎月のTimesheet(稼働表)を月末締め、翌月1日までに現場責任者に提出頂くことになっております。詳細は現場責任者にご確認願います。</t>
    <phoneticPr fontId="2"/>
  </si>
  <si>
    <t>また、請求書は月末締め、翌月3日までに業務部までご提出下さい。</t>
    <phoneticPr fontId="2"/>
  </si>
  <si>
    <t>％</t>
    <phoneticPr fontId="2"/>
  </si>
  <si>
    <t>）</t>
    <phoneticPr fontId="2"/>
  </si>
  <si>
    <t>　　理由記入（</t>
    <rPh sb="2" eb="4">
      <t>リユウ</t>
    </rPh>
    <rPh sb="4" eb="6">
      <t>キニュウ</t>
    </rPh>
    <phoneticPr fontId="2"/>
  </si>
  <si>
    <t>ファックス</t>
    <phoneticPr fontId="2"/>
  </si>
  <si>
    <t>E-MAIL</t>
    <phoneticPr fontId="2"/>
  </si>
  <si>
    <t>FUND</t>
    <phoneticPr fontId="2"/>
  </si>
  <si>
    <t>外国政府(LOAN)等</t>
    <phoneticPr fontId="2"/>
  </si>
  <si>
    <t>２.契約期間明細</t>
    <rPh sb="2" eb="4">
      <t>ケイヤク</t>
    </rPh>
    <rPh sb="4" eb="6">
      <t>キカン</t>
    </rPh>
    <rPh sb="6" eb="8">
      <t>メイサイ</t>
    </rPh>
    <phoneticPr fontId="2"/>
  </si>
  <si>
    <t>３．特記事項（手入力）</t>
    <rPh sb="2" eb="4">
      <t>トッキ</t>
    </rPh>
    <rPh sb="4" eb="6">
      <t>ジコウ</t>
    </rPh>
    <rPh sb="7" eb="8">
      <t>テ</t>
    </rPh>
    <rPh sb="8" eb="10">
      <t>ニュウリョク</t>
    </rPh>
    <phoneticPr fontId="2"/>
  </si>
  <si>
    <t>４．添付書類</t>
    <rPh sb="2" eb="4">
      <t>テンプ</t>
    </rPh>
    <rPh sb="4" eb="6">
      <t>ショルイ</t>
    </rPh>
    <phoneticPr fontId="2"/>
  </si>
  <si>
    <t>相手先購入（実費精算：指定ルートが有る場合は下記ルート欄に記入）</t>
    <rPh sb="0" eb="3">
      <t>アイテサキ</t>
    </rPh>
    <rPh sb="3" eb="5">
      <t>コウニュウ</t>
    </rPh>
    <rPh sb="6" eb="8">
      <t>ジッピ</t>
    </rPh>
    <rPh sb="8" eb="10">
      <t>セイサン</t>
    </rPh>
    <rPh sb="11" eb="13">
      <t>シテイ</t>
    </rPh>
    <rPh sb="17" eb="18">
      <t>ア</t>
    </rPh>
    <rPh sb="19" eb="21">
      <t>バアイ</t>
    </rPh>
    <rPh sb="22" eb="24">
      <t>カキ</t>
    </rPh>
    <rPh sb="27" eb="28">
      <t>ラン</t>
    </rPh>
    <rPh sb="29" eb="31">
      <t>キニュウ</t>
    </rPh>
    <phoneticPr fontId="2"/>
  </si>
  <si>
    <t>クラス</t>
    <phoneticPr fontId="2"/>
  </si>
  <si>
    <t>ルート</t>
    <phoneticPr fontId="2"/>
  </si>
  <si>
    <t>*借上者の保険については、基本的に下記の通り選択して下さい。</t>
    <rPh sb="1" eb="3">
      <t>カリア</t>
    </rPh>
    <rPh sb="3" eb="4">
      <t>シャ</t>
    </rPh>
    <rPh sb="5" eb="7">
      <t>ホケン</t>
    </rPh>
    <rPh sb="13" eb="15">
      <t>キホン</t>
    </rPh>
    <rPh sb="15" eb="16">
      <t>テキ</t>
    </rPh>
    <rPh sb="17" eb="19">
      <t>カキ</t>
    </rPh>
    <rPh sb="20" eb="21">
      <t>トオ</t>
    </rPh>
    <rPh sb="22" eb="24">
      <t>センタク</t>
    </rPh>
    <rPh sb="26" eb="27">
      <t>クダ</t>
    </rPh>
    <phoneticPr fontId="2"/>
  </si>
  <si>
    <t>日当</t>
    <phoneticPr fontId="2"/>
  </si>
  <si>
    <t>宿泊費</t>
    <phoneticPr fontId="2"/>
  </si>
  <si>
    <t>その他</t>
    <rPh sb="2" eb="3">
      <t>タ</t>
    </rPh>
    <phoneticPr fontId="2"/>
  </si>
  <si>
    <t>備考（</t>
    <rPh sb="0" eb="2">
      <t>ビコウ</t>
    </rPh>
    <phoneticPr fontId="2"/>
  </si>
  <si>
    <t>今回変更分発注条件</t>
    <rPh sb="0" eb="2">
      <t>コンカイ</t>
    </rPh>
    <rPh sb="2" eb="4">
      <t>ヘンコウ</t>
    </rPh>
    <rPh sb="4" eb="5">
      <t>ブン</t>
    </rPh>
    <rPh sb="5" eb="7">
      <t>ハッチュウ</t>
    </rPh>
    <rPh sb="7" eb="9">
      <t>ジョウケン</t>
    </rPh>
    <phoneticPr fontId="2"/>
  </si>
  <si>
    <t>単価（表示）</t>
    <rPh sb="0" eb="2">
      <t>タンカ</t>
    </rPh>
    <rPh sb="3" eb="5">
      <t>ヒョウジ</t>
    </rPh>
    <phoneticPr fontId="2"/>
  </si>
  <si>
    <t>単価（入力）</t>
    <rPh sb="0" eb="2">
      <t>タンカ</t>
    </rPh>
    <rPh sb="3" eb="5">
      <t>ニュウリョク</t>
    </rPh>
    <phoneticPr fontId="2"/>
  </si>
  <si>
    <t>×</t>
    <phoneticPr fontId="2"/>
  </si>
  <si>
    <t>￥</t>
    <phoneticPr fontId="2"/>
  </si>
  <si>
    <t>合　　計</t>
    <rPh sb="0" eb="1">
      <t>ゴウ</t>
    </rPh>
    <rPh sb="3" eb="4">
      <t>ケイ</t>
    </rPh>
    <phoneticPr fontId="2"/>
  </si>
  <si>
    <t>クラス</t>
    <phoneticPr fontId="2"/>
  </si>
  <si>
    <t>個人借上者→NK付保・負担　/　法人所属の借上者→相手先付保・負担</t>
    <rPh sb="0" eb="2">
      <t>コジン</t>
    </rPh>
    <rPh sb="2" eb="4">
      <t>カリア</t>
    </rPh>
    <rPh sb="4" eb="5">
      <t>シャ</t>
    </rPh>
    <rPh sb="8" eb="10">
      <t>フホ</t>
    </rPh>
    <rPh sb="11" eb="13">
      <t>フタン</t>
    </rPh>
    <rPh sb="16" eb="18">
      <t>ホウジン</t>
    </rPh>
    <rPh sb="18" eb="20">
      <t>ショゾク</t>
    </rPh>
    <rPh sb="21" eb="23">
      <t>カリア</t>
    </rPh>
    <rPh sb="23" eb="24">
      <t>シャ</t>
    </rPh>
    <rPh sb="25" eb="28">
      <t>アイテサキ</t>
    </rPh>
    <rPh sb="28" eb="30">
      <t>フホ</t>
    </rPh>
    <rPh sb="31" eb="33">
      <t>フタン</t>
    </rPh>
    <phoneticPr fontId="2"/>
  </si>
  <si>
    <t>【１】</t>
    <phoneticPr fontId="2"/>
  </si>
  <si>
    <t>【２】</t>
    <phoneticPr fontId="2"/>
  </si>
  <si>
    <t>【３】</t>
    <phoneticPr fontId="2"/>
  </si>
  <si>
    <t>*借上者の保険については、基本的に右記の通り選択して下さい。</t>
    <rPh sb="1" eb="3">
      <t>カリア</t>
    </rPh>
    <rPh sb="3" eb="4">
      <t>シャ</t>
    </rPh>
    <rPh sb="5" eb="7">
      <t>ホケン</t>
    </rPh>
    <rPh sb="13" eb="16">
      <t>キホンテキ</t>
    </rPh>
    <rPh sb="17" eb="19">
      <t>ウキ</t>
    </rPh>
    <rPh sb="20" eb="21">
      <t>トオ</t>
    </rPh>
    <rPh sb="22" eb="24">
      <t>センタク</t>
    </rPh>
    <rPh sb="26" eb="27">
      <t>クダ</t>
    </rPh>
    <phoneticPr fontId="2"/>
  </si>
  <si>
    <t>支給方法：</t>
    <rPh sb="0" eb="2">
      <t>シキュウ</t>
    </rPh>
    <rPh sb="2" eb="4">
      <t>ホウホウ</t>
    </rPh>
    <phoneticPr fontId="2"/>
  </si>
  <si>
    <t>渡航回数：</t>
    <rPh sb="0" eb="2">
      <t>トコウ</t>
    </rPh>
    <rPh sb="2" eb="4">
      <t>カイスウ</t>
    </rPh>
    <phoneticPr fontId="2"/>
  </si>
  <si>
    <t>往復×</t>
    <rPh sb="0" eb="2">
      <t>オウフク</t>
    </rPh>
    <phoneticPr fontId="2"/>
  </si>
  <si>
    <t>片道×</t>
    <rPh sb="0" eb="2">
      <t>カタミチ</t>
    </rPh>
    <phoneticPr fontId="2"/>
  </si>
  <si>
    <t>※以下、業務部使用欄</t>
    <rPh sb="1" eb="3">
      <t>イカ</t>
    </rPh>
    <rPh sb="4" eb="6">
      <t>ギョウム</t>
    </rPh>
    <rPh sb="6" eb="7">
      <t>ブ</t>
    </rPh>
    <rPh sb="7" eb="9">
      <t>シヨウ</t>
    </rPh>
    <rPh sb="9" eb="10">
      <t>ラン</t>
    </rPh>
    <phoneticPr fontId="2"/>
  </si>
  <si>
    <t>非契約稼働（持出：理由を記入）</t>
    <rPh sb="0" eb="1">
      <t>ヒ</t>
    </rPh>
    <rPh sb="1" eb="3">
      <t>ケイヤク</t>
    </rPh>
    <rPh sb="3" eb="5">
      <t>カドウ</t>
    </rPh>
    <rPh sb="6" eb="7">
      <t>モ</t>
    </rPh>
    <rPh sb="7" eb="8">
      <t>ダ</t>
    </rPh>
    <rPh sb="9" eb="11">
      <t>リユウ</t>
    </rPh>
    <rPh sb="12" eb="14">
      <t>キニュウ</t>
    </rPh>
    <phoneticPr fontId="2"/>
  </si>
  <si>
    <t>X</t>
    <phoneticPr fontId="2"/>
  </si>
  <si>
    <t>=</t>
    <phoneticPr fontId="2"/>
  </si>
  <si>
    <t>消 費 税</t>
    <rPh sb="0" eb="1">
      <t>ケ</t>
    </rPh>
    <rPh sb="2" eb="3">
      <t>ヒ</t>
    </rPh>
    <rPh sb="4" eb="5">
      <t>ゼイ</t>
    </rPh>
    <phoneticPr fontId="2"/>
  </si>
  <si>
    <t>(M/M)</t>
    <phoneticPr fontId="2"/>
  </si>
  <si>
    <t>対象</t>
    <phoneticPr fontId="2"/>
  </si>
  <si>
    <t>郵便番号</t>
    <rPh sb="0" eb="4">
      <t>ユウビンバンゴウ</t>
    </rPh>
    <phoneticPr fontId="2"/>
  </si>
  <si>
    <t>仕入先担当部名</t>
    <rPh sb="0" eb="3">
      <t>シイレサキ</t>
    </rPh>
    <rPh sb="3" eb="5">
      <t>タントウ</t>
    </rPh>
    <rPh sb="5" eb="6">
      <t>ブ</t>
    </rPh>
    <rPh sb="6" eb="7">
      <t>メイ</t>
    </rPh>
    <phoneticPr fontId="2"/>
  </si>
  <si>
    <t>仕入先担当者名</t>
    <rPh sb="0" eb="3">
      <t>シイレサキ</t>
    </rPh>
    <rPh sb="3" eb="6">
      <t>タントウシャ</t>
    </rPh>
    <rPh sb="6" eb="7">
      <t>メイ</t>
    </rPh>
    <phoneticPr fontId="2"/>
  </si>
  <si>
    <t>　 4 個人契約の場合、所得税法に基づき請求額より源泉所得税及び復興特別所得税を徴収</t>
    <rPh sb="4" eb="6">
      <t>コジン</t>
    </rPh>
    <rPh sb="6" eb="8">
      <t>ケイヤク</t>
    </rPh>
    <rPh sb="9" eb="11">
      <t>バアイ</t>
    </rPh>
    <rPh sb="12" eb="14">
      <t>ショトク</t>
    </rPh>
    <rPh sb="14" eb="16">
      <t>ゼイホウ</t>
    </rPh>
    <rPh sb="17" eb="18">
      <t>モト</t>
    </rPh>
    <rPh sb="20" eb="22">
      <t>セイキュウ</t>
    </rPh>
    <rPh sb="22" eb="23">
      <t>ガク</t>
    </rPh>
    <rPh sb="25" eb="27">
      <t>ゲンセン</t>
    </rPh>
    <rPh sb="27" eb="30">
      <t>ショトクゼイ</t>
    </rPh>
    <rPh sb="30" eb="31">
      <t>オヨ</t>
    </rPh>
    <rPh sb="32" eb="34">
      <t>フッコウ</t>
    </rPh>
    <rPh sb="34" eb="36">
      <t>トクベツ</t>
    </rPh>
    <rPh sb="36" eb="39">
      <t>ショトクゼイ</t>
    </rPh>
    <rPh sb="40" eb="42">
      <t>チョウシュウ</t>
    </rPh>
    <phoneticPr fontId="2"/>
  </si>
  <si>
    <t>　　　(\１,000,000までは10.21％、\１,000,000超過分は\１,000,000の10.21％+超過分の20.42％）</t>
    <rPh sb="34" eb="37">
      <t>チョウカブン</t>
    </rPh>
    <rPh sb="56" eb="59">
      <t>チョウカブン</t>
    </rPh>
    <phoneticPr fontId="2"/>
  </si>
  <si>
    <t>税率</t>
    <rPh sb="0" eb="2">
      <t>ゼイリツ</t>
    </rPh>
    <phoneticPr fontId="2"/>
  </si>
  <si>
    <t>税区分Code</t>
    <rPh sb="0" eb="1">
      <t>ゼイ</t>
    </rPh>
    <rPh sb="1" eb="3">
      <t>クブン</t>
    </rPh>
    <phoneticPr fontId="2"/>
  </si>
  <si>
    <t>07</t>
  </si>
  <si>
    <t>01</t>
  </si>
  <si>
    <t>03</t>
  </si>
  <si>
    <t>消費税率</t>
    <rPh sb="0" eb="3">
      <t>ショウヒゼイ</t>
    </rPh>
    <rPh sb="3" eb="4">
      <t>リツ</t>
    </rPh>
    <phoneticPr fontId="2"/>
  </si>
  <si>
    <t>業務担当予定者氏名</t>
    <rPh sb="0" eb="2">
      <t>ギョウム</t>
    </rPh>
    <rPh sb="2" eb="4">
      <t>タントウ</t>
    </rPh>
    <rPh sb="4" eb="6">
      <t>ヨテイ</t>
    </rPh>
    <rPh sb="6" eb="7">
      <t>シャ</t>
    </rPh>
    <rPh sb="7" eb="9">
      <t>シメイ</t>
    </rPh>
    <phoneticPr fontId="2"/>
  </si>
  <si>
    <t>このたび、下記の通り貴社（貴殿）に委託することとなりましたのでご通知いたします。つきましては、別添請書に</t>
    <rPh sb="47" eb="49">
      <t>ベッテン</t>
    </rPh>
    <rPh sb="49" eb="51">
      <t>ウケショ</t>
    </rPh>
    <phoneticPr fontId="2"/>
  </si>
  <si>
    <t>所要事項を記入し、記名捺印の上当社宛一部ご提出ください。</t>
    <rPh sb="0" eb="2">
      <t>ショヨウ</t>
    </rPh>
    <rPh sb="5" eb="7">
      <t>キニュウ</t>
    </rPh>
    <rPh sb="9" eb="11">
      <t>キメイ</t>
    </rPh>
    <rPh sb="11" eb="13">
      <t>ナツイン</t>
    </rPh>
    <rPh sb="14" eb="15">
      <t>ウエ</t>
    </rPh>
    <rPh sb="15" eb="17">
      <t>トウシャ</t>
    </rPh>
    <rPh sb="17" eb="18">
      <t>アテ</t>
    </rPh>
    <rPh sb="18" eb="20">
      <t>イチブ</t>
    </rPh>
    <rPh sb="21" eb="23">
      <t>テイシュツ</t>
    </rPh>
    <phoneticPr fontId="2"/>
  </si>
  <si>
    <t>２．件名　：</t>
    <rPh sb="2" eb="4">
      <t>ケンメイ</t>
    </rPh>
    <phoneticPr fontId="2"/>
  </si>
  <si>
    <t>７．著作権の帰属：甲</t>
    <phoneticPr fontId="2"/>
  </si>
  <si>
    <t>業務担当予定者氏名</t>
    <rPh sb="0" eb="2">
      <t>ギョウム</t>
    </rPh>
    <rPh sb="2" eb="4">
      <t>タントウ</t>
    </rPh>
    <rPh sb="4" eb="7">
      <t>ヨテイシャ</t>
    </rPh>
    <rPh sb="7" eb="9">
      <t>シメイ</t>
    </rPh>
    <phoneticPr fontId="2"/>
  </si>
  <si>
    <t>※本社仮移転のご案内※</t>
  </si>
  <si>
    <t>このたび弊社はビル建て替えに伴い2015年10月13日（火）より、以下に仮移転することとなりました。　</t>
  </si>
  <si>
    <t>仮移転先住所：〒102-8539　東京都千代田区九段北1-14-6</t>
  </si>
  <si>
    <t>電話番号及びFAX番号は従来の通り変更はございません。</t>
    <phoneticPr fontId="2"/>
  </si>
  <si>
    <t>請書、ご請求書等の郵便物につきましては、上記住所宛にお送りいただけますようお願い申し上げます。</t>
  </si>
  <si>
    <t>ご不便をお掛けすることになりますが、何卒ご了承賜りますようお願い申し上げます。</t>
  </si>
  <si>
    <t>【ご案内地図】</t>
  </si>
  <si>
    <t>JR「飯田橋」徒歩約10分</t>
    <phoneticPr fontId="2"/>
  </si>
  <si>
    <t>最寄駅：</t>
    <phoneticPr fontId="2"/>
  </si>
  <si>
    <t>東京メトロ東西線、半蔵門線、都営新宿線「九段下」徒歩1分</t>
    <phoneticPr fontId="2"/>
  </si>
  <si>
    <t>月末締め翌月20日全額現金払</t>
  </si>
  <si>
    <t>月末締め翌月20日全額現金払、ただし200万円以上の出来高払いは、１／３を120日サイトの約束手形払いとする</t>
  </si>
  <si>
    <t>月末締め翌月23日全額現金払</t>
  </si>
  <si>
    <t>月末締め翌月27日全額現金払</t>
  </si>
  <si>
    <t>月末締め翌月27日に支払金額の3割を120日サイトの約束手形払いとする</t>
  </si>
  <si>
    <t>月末締め翌月27日に支払金額の4割を120日サイトの約束手形払いとする</t>
  </si>
  <si>
    <t>月末締め翌月27日に支払金額の5割を120日サイトの約束手形払いとする</t>
  </si>
  <si>
    <t>月末締め翌月27日に支払金額の6割を120日サイトの約束手形払いとする</t>
  </si>
  <si>
    <t>月末締め翌月27日に支払金額の7割を120日サイトの約束手形払いとする</t>
  </si>
  <si>
    <t>月末締め翌月27日全額現金払、ただし300万円以上の出来高払いは、１／３を60日サイトの約束手形払いとする</t>
  </si>
  <si>
    <t>月末締め翌月27日に支払金額の7割を90日サイトの約束手形払とする</t>
  </si>
  <si>
    <t>月末締め翌月27日に全額を90日サイトの約束手形払とする</t>
  </si>
  <si>
    <t>月末締め翌月27日に全額を120日サイトの約束手形払いとする</t>
  </si>
  <si>
    <t>月末締め翌月月末全額現金払</t>
  </si>
  <si>
    <t>月末締め翌月月末全額現金払、ただし300万円以上の出来高払いは、１／３を60日サイトの約束手形払いとする</t>
  </si>
  <si>
    <t>月末締め翌月月末全額現金払、ただし200万円以上の出来高払いは、１／３を120日サイトの約束手形払いとする</t>
  </si>
  <si>
    <t>交際費・会議費払</t>
  </si>
  <si>
    <t>20日締め翌月27日全額現金払</t>
  </si>
  <si>
    <t>20日締め翌月27日に支払金額の3割を120日サイトの約束手形払いとする</t>
  </si>
  <si>
    <t>20日締め翌月27日に支払金額の4割を120日サイトの約束手形払いとする</t>
  </si>
  <si>
    <t>20日締め翌月27日に支払金額の5割を120日サイトの約束手形払いとする</t>
  </si>
  <si>
    <t>20日締め翌月27日に支払金額の6割を120日サイトの約束手形払いとする</t>
  </si>
  <si>
    <t>20日締め翌月27日に支払金額の7割を120日サイトの約束手形払いとする</t>
  </si>
  <si>
    <t>20日締め翌月27日に支払金額の7割を90日サイトの約束手形払とする</t>
  </si>
  <si>
    <t>20日締め翌月27日に全額を90日サイトの約束手形払とする</t>
  </si>
  <si>
    <t>20日締め翌月27日に全額を120日サイトの約束手形払いとする</t>
  </si>
  <si>
    <t>社員に準じる。（US$52/Day)</t>
    <rPh sb="0" eb="2">
      <t>シャイン</t>
    </rPh>
    <rPh sb="3" eb="4">
      <t>ジュン</t>
    </rPh>
    <phoneticPr fontId="2"/>
  </si>
  <si>
    <t>※変更の場合は、依頼Ｎｏ．を記入</t>
    <rPh sb="1" eb="3">
      <t>ヘンコウ</t>
    </rPh>
    <rPh sb="4" eb="6">
      <t>バアイ</t>
    </rPh>
    <rPh sb="8" eb="10">
      <t>イライ</t>
    </rPh>
    <rPh sb="14" eb="16">
      <t>キニュウ</t>
    </rPh>
    <phoneticPr fontId="2"/>
  </si>
  <si>
    <t>このたび当部において、下記の作業を外注致したく、外注付託書の代理作成を宜しくお願い致します。</t>
    <rPh sb="4" eb="6">
      <t>トウブ</t>
    </rPh>
    <rPh sb="11" eb="13">
      <t>カキ</t>
    </rPh>
    <rPh sb="14" eb="16">
      <t>サギョウ</t>
    </rPh>
    <rPh sb="17" eb="19">
      <t>ガイチュウ</t>
    </rPh>
    <rPh sb="19" eb="20">
      <t>イタ</t>
    </rPh>
    <rPh sb="24" eb="26">
      <t>ガイチュウ</t>
    </rPh>
    <rPh sb="26" eb="28">
      <t>フタク</t>
    </rPh>
    <rPh sb="28" eb="29">
      <t>ショ</t>
    </rPh>
    <rPh sb="30" eb="32">
      <t>ダイリ</t>
    </rPh>
    <rPh sb="32" eb="34">
      <t>サクセイ</t>
    </rPh>
    <rPh sb="35" eb="36">
      <t>ヨロ</t>
    </rPh>
    <rPh sb="38" eb="40">
      <t>オネガ</t>
    </rPh>
    <rPh sb="41" eb="42">
      <t>イタ</t>
    </rPh>
    <phoneticPr fontId="2"/>
  </si>
  <si>
    <t xml:space="preserve"> 個人借上者→NK付保･負担　/　法人所属の借上者→相手先付保･負担（NK付保は不可）</t>
    <rPh sb="1" eb="3">
      <t>コジン</t>
    </rPh>
    <rPh sb="3" eb="5">
      <t>カリア</t>
    </rPh>
    <rPh sb="5" eb="6">
      <t>シャ</t>
    </rPh>
    <rPh sb="9" eb="11">
      <t>フホ</t>
    </rPh>
    <rPh sb="12" eb="14">
      <t>フタン</t>
    </rPh>
    <rPh sb="17" eb="19">
      <t>ホウジン</t>
    </rPh>
    <rPh sb="19" eb="21">
      <t>ショゾク</t>
    </rPh>
    <rPh sb="22" eb="24">
      <t>カリア</t>
    </rPh>
    <rPh sb="24" eb="25">
      <t>シャ</t>
    </rPh>
    <rPh sb="26" eb="29">
      <t>アイテサキ</t>
    </rPh>
    <rPh sb="29" eb="31">
      <t>フホ</t>
    </rPh>
    <rPh sb="32" eb="34">
      <t>フタン</t>
    </rPh>
    <rPh sb="37" eb="39">
      <t>フホ</t>
    </rPh>
    <rPh sb="40" eb="42">
      <t>フカ</t>
    </rPh>
    <phoneticPr fontId="2"/>
  </si>
  <si>
    <t>※1～5は必ず添付。7はあれば添付。6.8は該当時添付。</t>
    <rPh sb="5" eb="6">
      <t>カナラ</t>
    </rPh>
    <rPh sb="7" eb="9">
      <t>テンプ</t>
    </rPh>
    <rPh sb="15" eb="17">
      <t>テンプ</t>
    </rPh>
    <rPh sb="22" eb="24">
      <t>ガイトウ</t>
    </rPh>
    <rPh sb="24" eb="25">
      <t>ジ</t>
    </rPh>
    <rPh sb="25" eb="27">
      <t>テンプ</t>
    </rPh>
    <phoneticPr fontId="2"/>
  </si>
  <si>
    <t>黄色箇所を技術者が入力</t>
    <rPh sb="0" eb="2">
      <t>キイロ</t>
    </rPh>
    <rPh sb="2" eb="4">
      <t>カショ</t>
    </rPh>
    <rPh sb="5" eb="8">
      <t>ギジュツシャ</t>
    </rPh>
    <rPh sb="9" eb="11">
      <t>ニュウリョク</t>
    </rPh>
    <phoneticPr fontId="2"/>
  </si>
  <si>
    <t>外注付託作成依頼書</t>
    <rPh sb="0" eb="2">
      <t>ガイチュウ</t>
    </rPh>
    <rPh sb="2" eb="4">
      <t>フタク</t>
    </rPh>
    <rPh sb="4" eb="6">
      <t>サクセイ</t>
    </rPh>
    <rPh sb="6" eb="8">
      <t>イライ</t>
    </rPh>
    <rPh sb="8" eb="9">
      <t>ショ</t>
    </rPh>
    <phoneticPr fontId="2"/>
  </si>
  <si>
    <t>通貨</t>
    <rPh sb="0" eb="2">
      <t>ツウカ</t>
    </rPh>
    <phoneticPr fontId="2"/>
  </si>
  <si>
    <t>単価</t>
    <rPh sb="0" eb="2">
      <t>タンカ</t>
    </rPh>
    <phoneticPr fontId="2"/>
  </si>
  <si>
    <t>数量</t>
    <rPh sb="0" eb="2">
      <t>スウリョウ</t>
    </rPh>
    <phoneticPr fontId="2"/>
  </si>
  <si>
    <t>単位</t>
    <rPh sb="0" eb="2">
      <t>タンイ</t>
    </rPh>
    <phoneticPr fontId="2"/>
  </si>
  <si>
    <t>支払い条件</t>
    <rPh sb="0" eb="2">
      <t>シハラ</t>
    </rPh>
    <rPh sb="3" eb="5">
      <t>ジョウケン</t>
    </rPh>
    <phoneticPr fontId="2"/>
  </si>
  <si>
    <t>支払い条件</t>
    <phoneticPr fontId="2"/>
  </si>
  <si>
    <t>a5414</t>
    <phoneticPr fontId="2"/>
  </si>
  <si>
    <t>前田　哲哉</t>
    <rPh sb="0" eb="2">
      <t>マエダ</t>
    </rPh>
    <rPh sb="3" eb="5">
      <t>テツヤ</t>
    </rPh>
    <phoneticPr fontId="2"/>
  </si>
  <si>
    <t>JN0100</t>
    <phoneticPr fontId="2"/>
  </si>
  <si>
    <t>道路・橋梁部</t>
    <rPh sb="0" eb="2">
      <t>ドウロ</t>
    </rPh>
    <rPh sb="3" eb="5">
      <t>キョウリョウ</t>
    </rPh>
    <rPh sb="5" eb="6">
      <t>ブ</t>
    </rPh>
    <phoneticPr fontId="2"/>
  </si>
  <si>
    <t>JA15R1003</t>
    <phoneticPr fontId="2"/>
  </si>
  <si>
    <t>PMU Thang Long (資金源：JICA円借款）</t>
    <rPh sb="16" eb="19">
      <t>シキンゲン</t>
    </rPh>
    <rPh sb="24" eb="27">
      <t>エンシャッカン</t>
    </rPh>
    <phoneticPr fontId="2"/>
  </si>
  <si>
    <t>JA1600301</t>
    <phoneticPr fontId="2"/>
  </si>
  <si>
    <t>ベトナム国ハノイ環状3号線整備事業（マイジックｰ南タンロン区間）</t>
    <rPh sb="4" eb="5">
      <t>コク</t>
    </rPh>
    <rPh sb="8" eb="10">
      <t>カンジョウ</t>
    </rPh>
    <rPh sb="11" eb="13">
      <t>ゴウセン</t>
    </rPh>
    <rPh sb="13" eb="15">
      <t>セイビ</t>
    </rPh>
    <rPh sb="15" eb="17">
      <t>ジギョウ</t>
    </rPh>
    <rPh sb="24" eb="25">
      <t>ミナミ</t>
    </rPh>
    <rPh sb="29" eb="31">
      <t>クカン</t>
    </rPh>
    <phoneticPr fontId="2"/>
  </si>
  <si>
    <t>有限責任事業組合インフラ・アセット・エンジニアリング</t>
    <rPh sb="0" eb="2">
      <t>ユウゲン</t>
    </rPh>
    <rPh sb="2" eb="4">
      <t>セキニン</t>
    </rPh>
    <rPh sb="4" eb="6">
      <t>ジギョウ</t>
    </rPh>
    <rPh sb="6" eb="8">
      <t>クミアイ</t>
    </rPh>
    <phoneticPr fontId="2"/>
  </si>
  <si>
    <t>田中　健治</t>
    <rPh sb="0" eb="2">
      <t>タナカ</t>
    </rPh>
    <rPh sb="3" eb="5">
      <t>ケンジ</t>
    </rPh>
    <phoneticPr fontId="2"/>
  </si>
  <si>
    <t>Cost Estimator</t>
    <phoneticPr fontId="2"/>
  </si>
  <si>
    <t>本付託書は2015年11月5日に作成した付託書の変更版である。</t>
    <rPh sb="0" eb="1">
      <t>ホン</t>
    </rPh>
    <rPh sb="1" eb="3">
      <t>フタク</t>
    </rPh>
    <rPh sb="3" eb="4">
      <t>ショ</t>
    </rPh>
    <rPh sb="9" eb="10">
      <t>ネン</t>
    </rPh>
    <rPh sb="12" eb="13">
      <t>ガツ</t>
    </rPh>
    <rPh sb="14" eb="15">
      <t>ニチ</t>
    </rPh>
    <rPh sb="16" eb="18">
      <t>サクセイ</t>
    </rPh>
    <rPh sb="20" eb="22">
      <t>フタク</t>
    </rPh>
    <rPh sb="22" eb="23">
      <t>ショ</t>
    </rPh>
    <rPh sb="24" eb="26">
      <t>ヘンコウ</t>
    </rPh>
    <rPh sb="26" eb="27">
      <t>バン</t>
    </rPh>
    <phoneticPr fontId="2"/>
  </si>
  <si>
    <t>2015/12/15～2015/12/19は本人都合の中抜けのため、全ての費用は本人負担とする。</t>
    <rPh sb="22" eb="24">
      <t>ホンニン</t>
    </rPh>
    <rPh sb="24" eb="26">
      <t>ツゴウ</t>
    </rPh>
    <rPh sb="27" eb="28">
      <t>ナカ</t>
    </rPh>
    <rPh sb="28" eb="29">
      <t>ヌ</t>
    </rPh>
    <rPh sb="34" eb="35">
      <t>スベ</t>
    </rPh>
    <rPh sb="37" eb="39">
      <t>ヒヨウ</t>
    </rPh>
    <rPh sb="40" eb="42">
      <t>ホンニン</t>
    </rPh>
    <rPh sb="42" eb="44">
      <t>フタン</t>
    </rPh>
    <phoneticPr fontId="2"/>
  </si>
  <si>
    <t>JPY</t>
    <phoneticPr fontId="2"/>
  </si>
  <si>
    <t>M/M</t>
  </si>
  <si>
    <t>外貨</t>
  </si>
  <si>
    <t>USD</t>
    <phoneticPr fontId="2"/>
  </si>
  <si>
    <t>M/D</t>
  </si>
  <si>
    <t>現地仮払可とする</t>
    <rPh sb="0" eb="2">
      <t>ゲンチ</t>
    </rPh>
    <rPh sb="2" eb="4">
      <t>カリバラ</t>
    </rPh>
    <rPh sb="4" eb="5">
      <t>カ</t>
    </rPh>
    <phoneticPr fontId="2"/>
  </si>
  <si>
    <t>ディスカウントビジネス</t>
  </si>
  <si>
    <t>東京-ハノイ</t>
    <rPh sb="0" eb="2">
      <t>トウキョウ</t>
    </rPh>
    <phoneticPr fontId="2"/>
  </si>
  <si>
    <t>総額252,000円/往復を上限とする</t>
    <rPh sb="0" eb="2">
      <t>ソウガク</t>
    </rPh>
    <rPh sb="9" eb="10">
      <t>エン</t>
    </rPh>
    <rPh sb="11" eb="13">
      <t>オウフク</t>
    </rPh>
    <rPh sb="14" eb="16">
      <t>ジョウゲン</t>
    </rPh>
    <phoneticPr fontId="2"/>
  </si>
  <si>
    <t>勤務時間：元契約に準じ、44時間/週とする。</t>
    <rPh sb="0" eb="2">
      <t>キンム</t>
    </rPh>
    <rPh sb="2" eb="4">
      <t>ジカン</t>
    </rPh>
    <rPh sb="5" eb="6">
      <t>モト</t>
    </rPh>
    <rPh sb="6" eb="8">
      <t>ケイヤク</t>
    </rPh>
    <rPh sb="9" eb="10">
      <t>ジュン</t>
    </rPh>
    <rPh sb="14" eb="16">
      <t>ジカン</t>
    </rPh>
    <rPh sb="17" eb="18">
      <t>シュウ</t>
    </rPh>
    <phoneticPr fontId="2"/>
  </si>
  <si>
    <t>（月-金：8:00-12:00、13:00-17:00、土：8:00-12:00）</t>
    <rPh sb="1" eb="2">
      <t>ゲツ</t>
    </rPh>
    <rPh sb="3" eb="4">
      <t>キン</t>
    </rPh>
    <rPh sb="28" eb="29">
      <t>ツチ</t>
    </rPh>
    <phoneticPr fontId="2"/>
  </si>
  <si>
    <t>USD57*30日+USD51*30日+USD48*8日+USD57*22日+USD57*30日</t>
    <rPh sb="8" eb="9">
      <t>ニチ</t>
    </rPh>
    <rPh sb="18" eb="19">
      <t>ニチ</t>
    </rPh>
    <rPh sb="27" eb="28">
      <t>ニチ</t>
    </rPh>
    <rPh sb="37" eb="38">
      <t>ニチ</t>
    </rPh>
    <rPh sb="47" eb="48">
      <t>ニチ</t>
    </rPh>
    <phoneticPr fontId="2"/>
  </si>
</sst>
</file>

<file path=xl/styles.xml><?xml version="1.0" encoding="utf-8"?>
<styleSheet xmlns="http://schemas.openxmlformats.org/spreadsheetml/2006/main">
  <numFmts count="23">
    <numFmt numFmtId="5" formatCode="&quot;¥&quot;#,##0;&quot;¥&quot;\-#,##0"/>
    <numFmt numFmtId="7" formatCode="&quot;¥&quot;#,##0.00;&quot;¥&quot;\-#,##0.00"/>
    <numFmt numFmtId="176" formatCode="0.0"/>
    <numFmt numFmtId="177" formatCode="#,##0.0;[Red]\-#,##0.0"/>
    <numFmt numFmtId="178" formatCode="&quot;US$&quot;#,##0.00;\-&quot;US$&quot;#,##0.00"/>
    <numFmt numFmtId="179" formatCode="#,##0.00_ "/>
    <numFmt numFmtId="180" formatCode="#,##0_ "/>
    <numFmt numFmtId="181" formatCode="0_ "/>
    <numFmt numFmtId="182" formatCode="#,##0.00_ ;[Red]\-#,##0.00\ "/>
    <numFmt numFmtId="183" formatCode="###,###"/>
    <numFmt numFmtId="184" formatCode="0_);[Red]\(0\)"/>
    <numFmt numFmtId="185" formatCode="#,##0_);[Red]\(#,##0\)"/>
    <numFmt numFmtId="186" formatCode="###,###.##"/>
    <numFmt numFmtId="187" formatCode="0.00_);[Red]\(0.00\)"/>
    <numFmt numFmtId="188" formatCode="yyyy&quot;年&quot;m&quot;月&quot;d&quot;日&quot;;@"/>
    <numFmt numFmtId="189" formatCode="#,##0&quot;千円&quot;"/>
    <numFmt numFmtId="190" formatCode="0.00_ "/>
    <numFmt numFmtId="191" formatCode="#########0.0#########"/>
    <numFmt numFmtId="192" formatCode="&quot;〒&quot;###\-####"/>
    <numFmt numFmtId="193" formatCode="###,###.00"/>
    <numFmt numFmtId="194" formatCode="#,###,###,##0.0#########"/>
    <numFmt numFmtId="195" formatCode="0%;\-0%;0%;"/>
    <numFmt numFmtId="196" formatCode="0%;\-0%;0%"/>
  </numFmts>
  <fonts count="46">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i/>
      <sz val="11"/>
      <name val="ＭＳ Ｐゴシック"/>
      <family val="3"/>
      <charset val="128"/>
    </font>
    <font>
      <sz val="10"/>
      <name val="ＭＳ Ｐゴシック"/>
      <family val="3"/>
      <charset val="128"/>
    </font>
    <font>
      <sz val="9"/>
      <name val="ＭＳ Ｐゴシック"/>
      <family val="3"/>
      <charset val="128"/>
    </font>
    <font>
      <b/>
      <sz val="11"/>
      <name val="ＭＳ Ｐゴシック"/>
      <family val="3"/>
      <charset val="128"/>
    </font>
    <font>
      <b/>
      <sz val="14"/>
      <name val="ＭＳ Ｐゴシック"/>
      <family val="3"/>
      <charset val="128"/>
    </font>
    <font>
      <b/>
      <sz val="10"/>
      <name val="ＭＳ Ｐゴシック"/>
      <family val="3"/>
      <charset val="128"/>
    </font>
    <font>
      <b/>
      <sz val="9"/>
      <color indexed="81"/>
      <name val="ＭＳ Ｐゴシック"/>
      <family val="3"/>
      <charset val="128"/>
    </font>
    <font>
      <sz val="11"/>
      <name val="ＭＳ Ｐゴシック"/>
      <family val="3"/>
      <charset val="128"/>
    </font>
    <font>
      <u/>
      <sz val="11"/>
      <color indexed="12"/>
      <name val="ＭＳ Ｐゴシック"/>
      <family val="3"/>
      <charset val="128"/>
    </font>
    <font>
      <b/>
      <sz val="18"/>
      <name val="ＭＳ Ｐゴシック"/>
      <family val="3"/>
      <charset val="128"/>
    </font>
    <font>
      <sz val="10"/>
      <name val="ＭＳ 明朝"/>
      <family val="1"/>
      <charset val="128"/>
    </font>
    <font>
      <b/>
      <sz val="16"/>
      <name val="ＭＳ Ｐゴシック"/>
      <family val="3"/>
      <charset val="128"/>
    </font>
    <font>
      <sz val="11"/>
      <name val="ＭＳ 明朝"/>
      <family val="1"/>
      <charset val="128"/>
    </font>
    <font>
      <sz val="14"/>
      <name val="ＭＳ 明朝"/>
      <family val="1"/>
      <charset val="128"/>
    </font>
    <font>
      <sz val="14"/>
      <name val="明朝"/>
      <family val="1"/>
      <charset val="128"/>
    </font>
    <font>
      <sz val="11"/>
      <name val="ＭＳ ゴシック"/>
      <family val="3"/>
      <charset val="128"/>
    </font>
    <font>
      <sz val="11"/>
      <color indexed="22"/>
      <name val="ＭＳ ゴシック"/>
      <family val="3"/>
      <charset val="128"/>
    </font>
    <font>
      <sz val="11"/>
      <name val="ＭＳ Ｐ明朝"/>
      <family val="1"/>
      <charset val="128"/>
    </font>
    <font>
      <u/>
      <sz val="20"/>
      <name val="ＭＳ Ｐ明朝"/>
      <family val="1"/>
      <charset val="128"/>
    </font>
    <font>
      <sz val="9"/>
      <name val="ＭＳ Ｐ明朝"/>
      <family val="1"/>
      <charset val="128"/>
    </font>
    <font>
      <sz val="12"/>
      <name val="ＭＳ Ｐ明朝"/>
      <family val="1"/>
      <charset val="128"/>
    </font>
    <font>
      <sz val="10"/>
      <name val="ＭＳ Ｐ明朝"/>
      <family val="1"/>
      <charset val="128"/>
    </font>
    <font>
      <sz val="12"/>
      <name val="ＭＳ 明朝"/>
      <family val="1"/>
      <charset val="128"/>
    </font>
    <font>
      <sz val="8"/>
      <color indexed="9"/>
      <name val="ＭＳ Ｐゴシック"/>
      <family val="3"/>
      <charset val="128"/>
    </font>
    <font>
      <sz val="11"/>
      <color indexed="9"/>
      <name val="ＭＳ Ｐゴシック"/>
      <family val="3"/>
      <charset val="128"/>
    </font>
    <font>
      <b/>
      <sz val="28"/>
      <name val="ＭＳ Ｐ明朝"/>
      <family val="1"/>
      <charset val="128"/>
    </font>
    <font>
      <sz val="11"/>
      <color indexed="9"/>
      <name val="ＭＳ Ｐ明朝"/>
      <family val="1"/>
      <charset val="128"/>
    </font>
    <font>
      <b/>
      <sz val="11"/>
      <name val="ＭＳ Ｐ明朝"/>
      <family val="1"/>
      <charset val="128"/>
    </font>
    <font>
      <sz val="11"/>
      <color indexed="10"/>
      <name val="ＭＳ Ｐゴシック"/>
      <family val="3"/>
      <charset val="128"/>
    </font>
    <font>
      <sz val="10"/>
      <color indexed="9"/>
      <name val="ＭＳ 明朝"/>
      <family val="1"/>
      <charset val="128"/>
    </font>
    <font>
      <sz val="11"/>
      <name val="ＭＳ Ｐゴシック"/>
      <family val="3"/>
      <charset val="128"/>
    </font>
    <font>
      <sz val="10"/>
      <color indexed="10"/>
      <name val="ＭＳ Ｐゴシック"/>
      <family val="3"/>
      <charset val="128"/>
    </font>
    <font>
      <u/>
      <sz val="10"/>
      <name val="ＭＳ Ｐゴシック"/>
      <family val="3"/>
      <charset val="128"/>
    </font>
    <font>
      <u/>
      <sz val="9"/>
      <name val="ＭＳ Ｐゴシック"/>
      <family val="3"/>
      <charset val="128"/>
    </font>
    <font>
      <sz val="12"/>
      <name val="ＭＳ Ｐゴシック"/>
      <family val="3"/>
      <charset val="128"/>
    </font>
    <font>
      <b/>
      <sz val="12"/>
      <name val="ＭＳ Ｐゴシック"/>
      <family val="3"/>
      <charset val="128"/>
    </font>
    <font>
      <sz val="16"/>
      <name val="ＭＳ Ｐゴシック"/>
      <family val="3"/>
      <charset val="128"/>
    </font>
    <font>
      <b/>
      <sz val="20"/>
      <name val="ＭＳ Ｐゴシック"/>
      <family val="3"/>
      <charset val="128"/>
    </font>
    <font>
      <sz val="20"/>
      <name val="ＭＳ Ｐゴシック"/>
      <family val="3"/>
      <charset val="128"/>
    </font>
    <font>
      <b/>
      <sz val="12"/>
      <name val="ＭＳ Ｐ明朝"/>
      <family val="1"/>
      <charset val="128"/>
    </font>
    <font>
      <sz val="9"/>
      <name val="MS UI Gothic"/>
      <family val="3"/>
      <charset val="128"/>
    </font>
    <font>
      <b/>
      <sz val="11"/>
      <color rgb="FFFF0000"/>
      <name val="ＭＳ Ｐゴシック"/>
      <family val="3"/>
      <charset val="128"/>
    </font>
  </fonts>
  <fills count="14">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31"/>
        <bgColor indexed="31"/>
      </patternFill>
    </fill>
    <fill>
      <patternFill patternType="solid">
        <fgColor indexed="65"/>
        <bgColor indexed="64"/>
      </patternFill>
    </fill>
    <fill>
      <patternFill patternType="solid">
        <fgColor indexed="47"/>
        <bgColor indexed="64"/>
      </patternFill>
    </fill>
    <fill>
      <patternFill patternType="solid">
        <fgColor indexed="53"/>
        <bgColor indexed="64"/>
      </patternFill>
    </fill>
    <fill>
      <patternFill patternType="solid">
        <fgColor indexed="42"/>
        <bgColor indexed="64"/>
      </patternFill>
    </fill>
    <fill>
      <patternFill patternType="solid">
        <fgColor rgb="FFCCCCFF"/>
        <bgColor indexed="64"/>
      </patternFill>
    </fill>
    <fill>
      <patternFill patternType="solid">
        <fgColor rgb="FFCCECFF"/>
        <bgColor indexed="64"/>
      </patternFill>
    </fill>
    <fill>
      <patternFill patternType="solid">
        <fgColor theme="6" tint="0.79998168889431442"/>
        <bgColor indexed="64"/>
      </patternFill>
    </fill>
    <fill>
      <patternFill patternType="solid">
        <fgColor rgb="FFFFFF99"/>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style="thin">
        <color indexed="64"/>
      </bottom>
      <diagonal/>
    </border>
    <border>
      <left/>
      <right/>
      <top/>
      <bottom style="dotted">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bottom/>
      <diagonal/>
    </border>
    <border>
      <left style="thin">
        <color indexed="64"/>
      </left>
      <right/>
      <top style="medium">
        <color indexed="64"/>
      </top>
      <bottom/>
      <diagonal/>
    </border>
    <border>
      <left style="medium">
        <color indexed="64"/>
      </left>
      <right/>
      <top/>
      <bottom/>
      <diagonal/>
    </border>
    <border>
      <left style="thin">
        <color indexed="64"/>
      </left>
      <right/>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top style="dotted">
        <color indexed="64"/>
      </top>
      <bottom style="dotted">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diagonal/>
    </border>
    <border>
      <left style="medium">
        <color indexed="64"/>
      </left>
      <right/>
      <top style="hair">
        <color indexed="64"/>
      </top>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dotted">
        <color indexed="64"/>
      </left>
      <right/>
      <top/>
      <bottom/>
      <diagonal/>
    </border>
    <border>
      <left/>
      <right style="dotted">
        <color indexed="64"/>
      </right>
      <top/>
      <bottom/>
      <diagonal/>
    </border>
    <border>
      <left/>
      <right style="dotted">
        <color indexed="64"/>
      </right>
      <top style="dotted">
        <color indexed="64"/>
      </top>
      <bottom/>
      <diagonal/>
    </border>
    <border>
      <left/>
      <right style="dotted">
        <color indexed="64"/>
      </right>
      <top/>
      <bottom style="dotted">
        <color indexed="64"/>
      </bottom>
      <diagonal/>
    </border>
    <border>
      <left style="dotted">
        <color indexed="64"/>
      </left>
      <right/>
      <top/>
      <bottom style="dotted">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2" fillId="0" borderId="0" applyNumberFormat="0" applyFill="0" applyBorder="0" applyAlignment="0" applyProtection="0">
      <alignment vertical="top"/>
      <protection locked="0"/>
    </xf>
    <xf numFmtId="38" fontId="1" fillId="0" borderId="0" applyFont="0" applyFill="0" applyBorder="0" applyAlignment="0" applyProtection="0"/>
    <xf numFmtId="38" fontId="11" fillId="0" borderId="0" applyFont="0" applyFill="0" applyBorder="0" applyAlignment="0" applyProtection="0"/>
    <xf numFmtId="0" fontId="16" fillId="0" borderId="0">
      <alignment vertical="center"/>
    </xf>
    <xf numFmtId="0" fontId="18" fillId="0" borderId="0"/>
    <xf numFmtId="0" fontId="11" fillId="0" borderId="0">
      <alignment vertical="center"/>
    </xf>
  </cellStyleXfs>
  <cellXfs count="957">
    <xf numFmtId="0" fontId="0" fillId="0" borderId="0" xfId="0"/>
    <xf numFmtId="0" fontId="0" fillId="0" borderId="0" xfId="0" applyBorder="1"/>
    <xf numFmtId="56" fontId="0" fillId="0" borderId="0" xfId="0" quotePrefix="1" applyNumberFormat="1" applyBorder="1"/>
    <xf numFmtId="0" fontId="0" fillId="0" borderId="0" xfId="0" quotePrefix="1" applyBorder="1"/>
    <xf numFmtId="0" fontId="3" fillId="0" borderId="0" xfId="0" applyFont="1"/>
    <xf numFmtId="0" fontId="3" fillId="0" borderId="1" xfId="0" applyFont="1" applyBorder="1" applyAlignment="1">
      <alignment horizontal="center"/>
    </xf>
    <xf numFmtId="0" fontId="0" fillId="0" borderId="1" xfId="0" applyBorder="1"/>
    <xf numFmtId="0" fontId="0" fillId="0" borderId="2" xfId="0" applyBorder="1"/>
    <xf numFmtId="0" fontId="3" fillId="0" borderId="0" xfId="0" applyFont="1" applyAlignment="1">
      <alignment horizontal="right"/>
    </xf>
    <xf numFmtId="0" fontId="2" fillId="0" borderId="0" xfId="0" applyFont="1"/>
    <xf numFmtId="0" fontId="4" fillId="0" borderId="0" xfId="0" applyFont="1"/>
    <xf numFmtId="0" fontId="4" fillId="0" borderId="0" xfId="0" applyFont="1" applyBorder="1"/>
    <xf numFmtId="0" fontId="5" fillId="0" borderId="0" xfId="0" applyFont="1" applyBorder="1"/>
    <xf numFmtId="0" fontId="6" fillId="0" borderId="0" xfId="0" applyFont="1" applyBorder="1"/>
    <xf numFmtId="0" fontId="0" fillId="0" borderId="0" xfId="0" applyAlignment="1">
      <alignment horizontal="center"/>
    </xf>
    <xf numFmtId="176" fontId="0" fillId="0" borderId="0" xfId="0" applyNumberFormat="1" applyBorder="1"/>
    <xf numFmtId="0" fontId="0" fillId="0" borderId="0" xfId="0" applyAlignment="1">
      <alignment horizontal="right"/>
    </xf>
    <xf numFmtId="178" fontId="0" fillId="0" borderId="0" xfId="0" applyNumberFormat="1"/>
    <xf numFmtId="0" fontId="0" fillId="0" borderId="0" xfId="0" applyAlignment="1"/>
    <xf numFmtId="0" fontId="7" fillId="0" borderId="0" xfId="0" applyFont="1"/>
    <xf numFmtId="0" fontId="0" fillId="0" borderId="0" xfId="0" applyBorder="1" applyAlignment="1">
      <alignment horizontal="center"/>
    </xf>
    <xf numFmtId="0" fontId="8" fillId="0" borderId="0" xfId="0" applyFont="1"/>
    <xf numFmtId="0" fontId="0" fillId="0" borderId="3" xfId="0" applyFill="1" applyBorder="1"/>
    <xf numFmtId="0" fontId="0" fillId="0" borderId="3" xfId="0" applyFill="1" applyBorder="1" applyAlignment="1">
      <alignment horizontal="center"/>
    </xf>
    <xf numFmtId="0" fontId="0" fillId="0" borderId="0" xfId="0" applyBorder="1" applyAlignment="1"/>
    <xf numFmtId="0" fontId="6" fillId="0" borderId="0" xfId="0" quotePrefix="1" applyFont="1" applyBorder="1" applyAlignment="1">
      <alignment vertical="top" wrapText="1"/>
    </xf>
    <xf numFmtId="0" fontId="0" fillId="0" borderId="0" xfId="0" applyFill="1"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0" xfId="0" quotePrefix="1" applyBorder="1"/>
    <xf numFmtId="0" fontId="0" fillId="0" borderId="10" xfId="0" applyBorder="1" applyAlignment="1">
      <alignment horizontal="center"/>
    </xf>
    <xf numFmtId="0" fontId="0" fillId="0" borderId="11" xfId="0" applyBorder="1"/>
    <xf numFmtId="0" fontId="0" fillId="0" borderId="5" xfId="0" quotePrefix="1" applyBorder="1"/>
    <xf numFmtId="0" fontId="0" fillId="0" borderId="5" xfId="0" applyBorder="1" applyAlignment="1">
      <alignment horizontal="center"/>
    </xf>
    <xf numFmtId="0" fontId="0" fillId="0" borderId="0" xfId="0" applyFill="1" applyBorder="1" applyAlignment="1">
      <alignment horizontal="centerContinuous"/>
    </xf>
    <xf numFmtId="0" fontId="0" fillId="0" borderId="0" xfId="0" applyFill="1" applyBorder="1" applyAlignment="1"/>
    <xf numFmtId="0" fontId="0" fillId="0" borderId="0" xfId="0" applyFill="1"/>
    <xf numFmtId="180" fontId="0" fillId="0" borderId="0" xfId="0" applyNumberFormat="1"/>
    <xf numFmtId="9" fontId="5" fillId="0" borderId="0" xfId="0" applyNumberFormat="1" applyFont="1" applyBorder="1"/>
    <xf numFmtId="180" fontId="0" fillId="0" borderId="0" xfId="0" applyNumberFormat="1" applyAlignment="1">
      <alignment horizontal="center"/>
    </xf>
    <xf numFmtId="0" fontId="3" fillId="0" borderId="0" xfId="0" applyFont="1" applyBorder="1" applyAlignment="1">
      <alignment vertical="center"/>
    </xf>
    <xf numFmtId="10" fontId="0" fillId="0" borderId="2" xfId="0" applyNumberFormat="1" applyBorder="1" applyAlignment="1">
      <alignment horizontal="center"/>
    </xf>
    <xf numFmtId="38" fontId="7" fillId="0" borderId="0" xfId="2" applyFont="1" applyFill="1" applyBorder="1"/>
    <xf numFmtId="0" fontId="2" fillId="0" borderId="0" xfId="0" applyFont="1" applyBorder="1" applyAlignment="1">
      <alignment horizontal="center" vertical="top"/>
    </xf>
    <xf numFmtId="0" fontId="8" fillId="0" borderId="0" xfId="0" applyFont="1" applyAlignment="1">
      <alignment horizontal="centerContinuous"/>
    </xf>
    <xf numFmtId="0" fontId="0" fillId="0" borderId="0" xfId="0" applyAlignment="1">
      <alignment horizontal="centerContinuous"/>
    </xf>
    <xf numFmtId="0" fontId="0" fillId="0" borderId="0" xfId="0" applyBorder="1" applyAlignment="1">
      <alignment horizontal="right"/>
    </xf>
    <xf numFmtId="0" fontId="0" fillId="0" borderId="0" xfId="0" applyBorder="1" applyAlignment="1">
      <alignment horizontal="centerContinuous"/>
    </xf>
    <xf numFmtId="183" fontId="0" fillId="0" borderId="0" xfId="0" applyNumberFormat="1" applyBorder="1"/>
    <xf numFmtId="0" fontId="9" fillId="0" borderId="0" xfId="0" applyFont="1" applyBorder="1" applyAlignment="1">
      <alignment vertical="center"/>
    </xf>
    <xf numFmtId="3" fontId="0" fillId="0" borderId="1" xfId="0" applyNumberFormat="1" applyBorder="1"/>
    <xf numFmtId="0" fontId="0" fillId="2" borderId="1" xfId="0" applyFill="1" applyBorder="1" applyAlignment="1">
      <alignment horizontal="center"/>
    </xf>
    <xf numFmtId="0" fontId="0" fillId="0" borderId="1" xfId="0" applyBorder="1" applyAlignment="1">
      <alignment horizontal="center"/>
    </xf>
    <xf numFmtId="2" fontId="0" fillId="0" borderId="1" xfId="0" applyNumberFormat="1" applyBorder="1" applyAlignment="1">
      <alignment horizontal="center"/>
    </xf>
    <xf numFmtId="0" fontId="2" fillId="0" borderId="12" xfId="0" applyFont="1" applyBorder="1" applyAlignment="1">
      <alignment horizontal="center" vertical="top"/>
    </xf>
    <xf numFmtId="0" fontId="0" fillId="0" borderId="13" xfId="0" applyBorder="1"/>
    <xf numFmtId="186" fontId="0" fillId="0" borderId="0" xfId="0" applyNumberFormat="1" applyBorder="1" applyAlignment="1"/>
    <xf numFmtId="183" fontId="0" fillId="0" borderId="0" xfId="0" applyNumberFormat="1"/>
    <xf numFmtId="0" fontId="0" fillId="0" borderId="0" xfId="0" applyFill="1" applyBorder="1" applyAlignment="1">
      <alignment vertical="center"/>
    </xf>
    <xf numFmtId="0" fontId="0" fillId="0" borderId="0" xfId="0" applyFill="1" applyBorder="1" applyAlignment="1">
      <alignment horizontal="right"/>
    </xf>
    <xf numFmtId="0" fontId="0" fillId="0" borderId="0" xfId="0" applyBorder="1" applyAlignment="1">
      <alignment horizontal="center" vertical="center"/>
    </xf>
    <xf numFmtId="0" fontId="8" fillId="0" borderId="0" xfId="0" applyFont="1" applyAlignment="1">
      <alignment vertical="center"/>
    </xf>
    <xf numFmtId="57" fontId="0" fillId="0" borderId="0" xfId="0" applyNumberFormat="1" applyBorder="1" applyAlignment="1">
      <alignment horizontal="center"/>
    </xf>
    <xf numFmtId="0" fontId="2" fillId="0" borderId="0" xfId="0" applyFont="1" applyBorder="1" applyAlignment="1">
      <alignment horizontal="center" vertical="top" wrapText="1"/>
    </xf>
    <xf numFmtId="0" fontId="11" fillId="0" borderId="0" xfId="0" applyFont="1"/>
    <xf numFmtId="0" fontId="16" fillId="0" borderId="0" xfId="4">
      <alignment vertical="center"/>
    </xf>
    <xf numFmtId="0" fontId="17" fillId="0" borderId="0" xfId="5" applyFont="1" applyFill="1"/>
    <xf numFmtId="0" fontId="0" fillId="3" borderId="3" xfId="0" applyFill="1" applyBorder="1"/>
    <xf numFmtId="0" fontId="14" fillId="0" borderId="0" xfId="4" applyFont="1">
      <alignment vertical="center"/>
    </xf>
    <xf numFmtId="0" fontId="14" fillId="0" borderId="0" xfId="5" applyFont="1" applyFill="1"/>
    <xf numFmtId="0" fontId="11" fillId="0" borderId="0" xfId="0" applyFont="1" applyAlignment="1"/>
    <xf numFmtId="0" fontId="0" fillId="0" borderId="0" xfId="0" applyAlignment="1">
      <alignment vertical="top" wrapText="1"/>
    </xf>
    <xf numFmtId="0" fontId="5" fillId="0" borderId="14" xfId="4" applyFont="1" applyFill="1" applyBorder="1" applyAlignment="1">
      <alignment horizontal="left" vertical="center"/>
    </xf>
    <xf numFmtId="0" fontId="5" fillId="0" borderId="14" xfId="0" applyFont="1" applyFill="1" applyBorder="1" applyAlignment="1">
      <alignment vertical="center"/>
    </xf>
    <xf numFmtId="0" fontId="5" fillId="0" borderId="0" xfId="0" applyFont="1" applyFill="1" applyBorder="1" applyAlignment="1">
      <alignment vertical="center"/>
    </xf>
    <xf numFmtId="0" fontId="5" fillId="0" borderId="0" xfId="0" applyFont="1" applyAlignment="1">
      <alignment vertical="center"/>
    </xf>
    <xf numFmtId="2" fontId="0" fillId="0" borderId="0" xfId="0" applyNumberFormat="1" applyBorder="1" applyAlignment="1">
      <alignment horizontal="center" vertical="center"/>
    </xf>
    <xf numFmtId="0" fontId="0" fillId="0" borderId="0" xfId="0" applyAlignment="1">
      <alignment vertical="center"/>
    </xf>
    <xf numFmtId="0" fontId="8" fillId="0" borderId="0" xfId="0" applyFont="1" applyAlignment="1">
      <alignment horizontal="centerContinuous" vertical="center"/>
    </xf>
    <xf numFmtId="0" fontId="0" fillId="0" borderId="0" xfId="0" applyAlignment="1">
      <alignment horizontal="centerContinuous" vertical="center"/>
    </xf>
    <xf numFmtId="0" fontId="0" fillId="0" borderId="0" xfId="0" applyBorder="1" applyAlignment="1">
      <alignment vertical="center"/>
    </xf>
    <xf numFmtId="0" fontId="0" fillId="0" borderId="0" xfId="0" applyFill="1" applyBorder="1" applyAlignment="1">
      <alignment horizontal="center" vertical="center"/>
    </xf>
    <xf numFmtId="0" fontId="11" fillId="0" borderId="0" xfId="0" applyFont="1" applyFill="1" applyBorder="1" applyAlignment="1">
      <alignment horizontal="center" vertical="center"/>
    </xf>
    <xf numFmtId="0" fontId="0" fillId="0" borderId="0" xfId="0" applyFill="1" applyAlignment="1">
      <alignment vertical="center"/>
    </xf>
    <xf numFmtId="0" fontId="0" fillId="0" borderId="15" xfId="0" applyBorder="1" applyAlignment="1">
      <alignment horizontal="left" vertical="center"/>
    </xf>
    <xf numFmtId="0" fontId="0" fillId="0" borderId="16" xfId="0" applyBorder="1" applyAlignment="1">
      <alignment horizontal="center" vertical="center"/>
    </xf>
    <xf numFmtId="2" fontId="0" fillId="0" borderId="16" xfId="0" applyNumberFormat="1" applyBorder="1" applyAlignment="1">
      <alignment horizontal="center" vertical="center"/>
    </xf>
    <xf numFmtId="0" fontId="0" fillId="0" borderId="16" xfId="0" applyBorder="1" applyAlignment="1">
      <alignment vertical="center"/>
    </xf>
    <xf numFmtId="0" fontId="0" fillId="2" borderId="1" xfId="0" applyFill="1" applyBorder="1" applyAlignment="1">
      <alignment horizontal="center" vertical="center"/>
    </xf>
    <xf numFmtId="0" fontId="0" fillId="4" borderId="1" xfId="0" applyFill="1" applyBorder="1" applyAlignment="1">
      <alignment horizontal="left" vertical="center"/>
    </xf>
    <xf numFmtId="0" fontId="0" fillId="4" borderId="17" xfId="0" applyFill="1" applyBorder="1" applyAlignment="1">
      <alignment horizontal="left" vertical="center"/>
    </xf>
    <xf numFmtId="0" fontId="0" fillId="4" borderId="1" xfId="0" applyFill="1" applyBorder="1" applyAlignment="1">
      <alignment vertical="center"/>
    </xf>
    <xf numFmtId="0" fontId="5" fillId="0" borderId="0" xfId="0" applyFont="1" applyBorder="1" applyAlignment="1">
      <alignmen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left" vertical="center"/>
    </xf>
    <xf numFmtId="0" fontId="0" fillId="0" borderId="1" xfId="0" applyBorder="1" applyAlignment="1">
      <alignment vertical="center"/>
    </xf>
    <xf numFmtId="0" fontId="0" fillId="0" borderId="18" xfId="0" applyBorder="1" applyAlignment="1">
      <alignment vertical="center"/>
    </xf>
    <xf numFmtId="0" fontId="0" fillId="0" borderId="0" xfId="0" applyBorder="1" applyAlignment="1">
      <alignment horizontal="left" vertical="center"/>
    </xf>
    <xf numFmtId="0" fontId="0" fillId="0" borderId="19"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0" fillId="0" borderId="0" xfId="0" applyAlignment="1">
      <alignment horizontal="right" vertical="center"/>
    </xf>
    <xf numFmtId="183" fontId="5" fillId="0" borderId="0" xfId="0" applyNumberFormat="1" applyFont="1" applyFill="1" applyBorder="1" applyAlignment="1">
      <alignment vertical="center"/>
    </xf>
    <xf numFmtId="183" fontId="0" fillId="0" borderId="0" xfId="0" applyNumberFormat="1" applyFill="1" applyBorder="1" applyAlignment="1">
      <alignment horizontal="center" vertical="center"/>
    </xf>
    <xf numFmtId="38" fontId="11" fillId="0" borderId="0" xfId="2" applyFont="1" applyFill="1" applyBorder="1" applyAlignment="1">
      <alignment horizontal="center"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183" fontId="0" fillId="0" borderId="0" xfId="0" applyNumberFormat="1" applyFill="1" applyBorder="1" applyAlignment="1">
      <alignment vertical="center"/>
    </xf>
    <xf numFmtId="183" fontId="7" fillId="0" borderId="0" xfId="0" applyNumberFormat="1" applyFont="1" applyBorder="1" applyAlignment="1">
      <alignment vertical="center"/>
    </xf>
    <xf numFmtId="183" fontId="0" fillId="0" borderId="0" xfId="0" applyNumberFormat="1" applyBorder="1" applyAlignment="1">
      <alignment vertical="center"/>
    </xf>
    <xf numFmtId="0" fontId="0" fillId="0" borderId="0" xfId="0" applyFill="1" applyBorder="1" applyAlignment="1">
      <alignment horizontal="left" vertical="center"/>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181" fontId="0" fillId="0" borderId="0" xfId="0" applyNumberFormat="1" applyAlignment="1">
      <alignment vertical="center"/>
    </xf>
    <xf numFmtId="0" fontId="0" fillId="0" borderId="0" xfId="0" applyAlignment="1">
      <alignment horizontal="left" vertical="center"/>
    </xf>
    <xf numFmtId="0" fontId="0" fillId="0" borderId="0" xfId="0" applyBorder="1" applyAlignment="1">
      <alignment horizontal="right" vertical="center"/>
    </xf>
    <xf numFmtId="0" fontId="0" fillId="0" borderId="18" xfId="0" applyFill="1" applyBorder="1" applyAlignment="1">
      <alignment vertical="center"/>
    </xf>
    <xf numFmtId="0" fontId="7" fillId="0" borderId="20" xfId="0" applyFont="1" applyBorder="1" applyAlignment="1">
      <alignment horizontal="right" vertical="center"/>
    </xf>
    <xf numFmtId="183" fontId="0" fillId="0" borderId="0" xfId="0" applyNumberFormat="1" applyFill="1" applyBorder="1" applyAlignment="1">
      <alignment horizontal="left" vertical="center"/>
    </xf>
    <xf numFmtId="0" fontId="0" fillId="0" borderId="20" xfId="0" applyFill="1" applyBorder="1" applyAlignment="1">
      <alignment vertical="center"/>
    </xf>
    <xf numFmtId="0" fontId="0" fillId="0" borderId="28" xfId="0" applyBorder="1" applyAlignment="1">
      <alignment vertical="center"/>
    </xf>
    <xf numFmtId="0" fontId="7" fillId="0" borderId="0" xfId="4" applyFont="1" applyAlignment="1">
      <alignment vertical="center"/>
    </xf>
    <xf numFmtId="0" fontId="17" fillId="0" borderId="0" xfId="5" applyFont="1" applyFill="1" applyAlignment="1">
      <alignment vertical="center"/>
    </xf>
    <xf numFmtId="14" fontId="0" fillId="0" borderId="0" xfId="0" applyNumberFormat="1" applyAlignment="1">
      <alignment vertical="center"/>
    </xf>
    <xf numFmtId="0" fontId="0" fillId="0" borderId="1" xfId="0" applyFill="1" applyBorder="1" applyAlignment="1">
      <alignment horizontal="center"/>
    </xf>
    <xf numFmtId="2" fontId="0" fillId="0" borderId="1" xfId="0" applyNumberFormat="1" applyFill="1" applyBorder="1" applyAlignment="1">
      <alignment horizontal="center"/>
    </xf>
    <xf numFmtId="190" fontId="0" fillId="3" borderId="0" xfId="0" applyNumberFormat="1" applyFill="1" applyBorder="1" applyAlignment="1" applyProtection="1">
      <alignment vertical="center"/>
      <protection locked="0"/>
    </xf>
    <xf numFmtId="0" fontId="0" fillId="0" borderId="0" xfId="0" applyNumberFormat="1" applyAlignment="1">
      <alignment vertical="center"/>
    </xf>
    <xf numFmtId="185" fontId="0" fillId="0" borderId="0" xfId="0" applyNumberFormat="1" applyBorder="1"/>
    <xf numFmtId="0" fontId="21" fillId="0" borderId="0" xfId="0" applyFont="1" applyAlignment="1">
      <alignment vertical="center"/>
    </xf>
    <xf numFmtId="2" fontId="0" fillId="0" borderId="0" xfId="0" applyNumberFormat="1" applyFill="1" applyAlignment="1">
      <alignment vertical="center"/>
    </xf>
    <xf numFmtId="0" fontId="11" fillId="5" borderId="0" xfId="0" applyNumberFormat="1" applyFont="1" applyFill="1" applyAlignment="1" applyProtection="1">
      <alignment vertical="center"/>
      <protection locked="0"/>
    </xf>
    <xf numFmtId="1" fontId="11" fillId="5" borderId="0" xfId="0" applyNumberFormat="1" applyFont="1" applyFill="1" applyAlignment="1" applyProtection="1">
      <alignment vertical="center"/>
      <protection locked="0"/>
    </xf>
    <xf numFmtId="0" fontId="0" fillId="3" borderId="0" xfId="0" applyFill="1" applyBorder="1" applyAlignment="1" applyProtection="1">
      <alignment horizontal="left" vertical="center"/>
      <protection locked="0"/>
    </xf>
    <xf numFmtId="0" fontId="0" fillId="3" borderId="0" xfId="0" applyNumberFormat="1" applyFill="1" applyBorder="1" applyAlignment="1" applyProtection="1">
      <alignment vertical="center"/>
      <protection locked="0"/>
    </xf>
    <xf numFmtId="0" fontId="0" fillId="3" borderId="0" xfId="0" applyFill="1" applyBorder="1" applyAlignment="1" applyProtection="1">
      <alignment vertical="center"/>
      <protection locked="0"/>
    </xf>
    <xf numFmtId="0" fontId="0" fillId="0" borderId="20" xfId="0" applyBorder="1" applyAlignment="1" applyProtection="1">
      <alignment vertical="center"/>
    </xf>
    <xf numFmtId="0" fontId="0" fillId="0" borderId="0" xfId="0" applyBorder="1" applyAlignment="1" applyProtection="1">
      <alignment vertical="center"/>
    </xf>
    <xf numFmtId="0" fontId="0" fillId="0" borderId="0" xfId="0" applyFill="1" applyBorder="1" applyAlignment="1" applyProtection="1">
      <alignment horizontal="center" vertical="center"/>
    </xf>
    <xf numFmtId="40" fontId="0" fillId="0" borderId="0" xfId="2" applyNumberFormat="1" applyFont="1" applyBorder="1" applyAlignment="1" applyProtection="1">
      <alignment vertical="center"/>
    </xf>
    <xf numFmtId="0" fontId="0" fillId="0" borderId="18" xfId="0" applyBorder="1" applyAlignment="1" applyProtection="1">
      <alignment vertical="center"/>
    </xf>
    <xf numFmtId="0" fontId="0" fillId="0" borderId="0" xfId="0" applyBorder="1" applyAlignment="1" applyProtection="1">
      <alignment horizontal="center" vertical="center"/>
    </xf>
    <xf numFmtId="0" fontId="0" fillId="0" borderId="24" xfId="0" applyBorder="1" applyAlignment="1" applyProtection="1">
      <alignment vertical="center"/>
    </xf>
    <xf numFmtId="0" fontId="0" fillId="0" borderId="20" xfId="0" applyBorder="1" applyAlignment="1" applyProtection="1">
      <alignment horizontal="left" vertical="center"/>
    </xf>
    <xf numFmtId="0" fontId="0" fillId="0" borderId="0" xfId="0" applyBorder="1" applyAlignment="1" applyProtection="1">
      <alignment horizontal="right" vertical="center"/>
    </xf>
    <xf numFmtId="14" fontId="0" fillId="0" borderId="0" xfId="0" applyNumberFormat="1" applyBorder="1" applyAlignment="1" applyProtection="1">
      <alignment vertical="center"/>
    </xf>
    <xf numFmtId="184" fontId="0" fillId="0" borderId="0" xfId="0" applyNumberFormat="1" applyBorder="1" applyAlignment="1" applyProtection="1">
      <alignment vertical="center"/>
    </xf>
    <xf numFmtId="0" fontId="0" fillId="0" borderId="0" xfId="0" applyFill="1" applyBorder="1" applyAlignment="1" applyProtection="1">
      <alignment horizontal="right" vertical="center"/>
    </xf>
    <xf numFmtId="0" fontId="0" fillId="3" borderId="0" xfId="0" applyNumberFormat="1" applyFill="1" applyBorder="1" applyProtection="1">
      <protection locked="0"/>
    </xf>
    <xf numFmtId="0" fontId="0" fillId="3" borderId="0" xfId="0" applyFill="1" applyBorder="1" applyProtection="1">
      <protection locked="0"/>
    </xf>
    <xf numFmtId="0" fontId="22" fillId="0" borderId="0" xfId="0" applyFont="1" applyAlignment="1">
      <alignment horizontal="center" vertical="center"/>
    </xf>
    <xf numFmtId="0" fontId="22" fillId="0" borderId="0" xfId="0" applyFont="1" applyAlignment="1">
      <alignment horizontal="center"/>
    </xf>
    <xf numFmtId="0" fontId="21" fillId="0" borderId="0" xfId="0" applyFont="1"/>
    <xf numFmtId="31" fontId="21" fillId="0" borderId="0" xfId="0" applyNumberFormat="1" applyFont="1" applyAlignment="1">
      <alignment horizontal="center"/>
    </xf>
    <xf numFmtId="0" fontId="21" fillId="0" borderId="0" xfId="0" applyFont="1" applyAlignment="1">
      <alignment horizontal="center"/>
    </xf>
    <xf numFmtId="0" fontId="21" fillId="0" borderId="0" xfId="0" applyFont="1" applyAlignment="1">
      <alignment horizontal="left"/>
    </xf>
    <xf numFmtId="0" fontId="23" fillId="0" borderId="0" xfId="0" applyFont="1" applyAlignment="1">
      <alignment horizontal="center"/>
    </xf>
    <xf numFmtId="31" fontId="23" fillId="0" borderId="0" xfId="0" applyNumberFormat="1" applyFont="1" applyAlignment="1">
      <alignment horizontal="center"/>
    </xf>
    <xf numFmtId="49" fontId="23" fillId="0" borderId="0" xfId="0" applyNumberFormat="1" applyFont="1" applyAlignment="1">
      <alignment horizontal="center"/>
    </xf>
    <xf numFmtId="31" fontId="21" fillId="0" borderId="0" xfId="0" applyNumberFormat="1" applyFont="1" applyBorder="1" applyAlignment="1">
      <alignment horizontal="center"/>
    </xf>
    <xf numFmtId="31" fontId="21" fillId="0" borderId="0" xfId="0" applyNumberFormat="1" applyFont="1" applyAlignment="1">
      <alignment horizontal="right"/>
    </xf>
    <xf numFmtId="31" fontId="21" fillId="0" borderId="0" xfId="0" applyNumberFormat="1" applyFont="1" applyAlignment="1">
      <alignment horizontal="left"/>
    </xf>
    <xf numFmtId="49" fontId="23" fillId="0" borderId="0" xfId="0" applyNumberFormat="1" applyFont="1" applyBorder="1" applyAlignment="1">
      <alignment horizontal="center"/>
    </xf>
    <xf numFmtId="31" fontId="23" fillId="0" borderId="0" xfId="0" applyNumberFormat="1" applyFont="1" applyAlignment="1">
      <alignment horizontal="right"/>
    </xf>
    <xf numFmtId="31" fontId="23" fillId="0" borderId="0" xfId="0" applyNumberFormat="1" applyFont="1" applyAlignment="1">
      <alignment horizontal="left"/>
    </xf>
    <xf numFmtId="0" fontId="23" fillId="0" borderId="0" xfId="0" applyFont="1" applyBorder="1" applyAlignment="1">
      <alignment horizontal="center"/>
    </xf>
    <xf numFmtId="0" fontId="21" fillId="0" borderId="2" xfId="0" applyFont="1" applyBorder="1" applyAlignment="1">
      <alignment horizontal="center"/>
    </xf>
    <xf numFmtId="31" fontId="23" fillId="0" borderId="2" xfId="0" applyNumberFormat="1" applyFont="1" applyBorder="1" applyAlignment="1">
      <alignment horizontal="center"/>
    </xf>
    <xf numFmtId="0" fontId="21" fillId="0" borderId="2" xfId="0" applyFont="1" applyBorder="1" applyAlignment="1">
      <alignment horizontal="left"/>
    </xf>
    <xf numFmtId="0" fontId="21" fillId="0" borderId="0" xfId="0" applyFont="1" applyBorder="1"/>
    <xf numFmtId="0" fontId="21" fillId="0" borderId="29" xfId="0" applyFont="1" applyBorder="1" applyAlignment="1">
      <alignment horizontal="center"/>
    </xf>
    <xf numFmtId="31" fontId="23" fillId="0" borderId="29" xfId="0" applyNumberFormat="1" applyFont="1" applyBorder="1" applyAlignment="1">
      <alignment horizontal="center"/>
    </xf>
    <xf numFmtId="0" fontId="21" fillId="0" borderId="29" xfId="0" applyFont="1" applyBorder="1" applyAlignment="1">
      <alignment horizontal="left"/>
    </xf>
    <xf numFmtId="0" fontId="21" fillId="0" borderId="0" xfId="0" applyFont="1" applyBorder="1" applyAlignment="1">
      <alignment horizontal="center"/>
    </xf>
    <xf numFmtId="3" fontId="21" fillId="0" borderId="0" xfId="0" applyNumberFormat="1" applyFont="1" applyBorder="1" applyAlignment="1">
      <alignment horizontal="right"/>
    </xf>
    <xf numFmtId="0" fontId="21" fillId="0" borderId="13" xfId="0" applyFont="1" applyBorder="1"/>
    <xf numFmtId="31" fontId="23" fillId="0" borderId="13" xfId="0" applyNumberFormat="1" applyFont="1" applyBorder="1" applyAlignment="1">
      <alignment horizontal="center"/>
    </xf>
    <xf numFmtId="0" fontId="21" fillId="0" borderId="2" xfId="0" applyFont="1" applyBorder="1"/>
    <xf numFmtId="0" fontId="21" fillId="0" borderId="21" xfId="0" applyFont="1" applyBorder="1" applyAlignment="1">
      <alignment horizontal="left"/>
    </xf>
    <xf numFmtId="0" fontId="21" fillId="0" borderId="30" xfId="0" applyFont="1" applyBorder="1" applyAlignment="1">
      <alignment horizontal="center"/>
    </xf>
    <xf numFmtId="0" fontId="21" fillId="0" borderId="31" xfId="0" applyFont="1" applyBorder="1" applyAlignment="1">
      <alignment horizontal="left"/>
    </xf>
    <xf numFmtId="0" fontId="21" fillId="0" borderId="32" xfId="0" applyFont="1" applyBorder="1" applyAlignment="1">
      <alignment horizontal="center"/>
    </xf>
    <xf numFmtId="0" fontId="21" fillId="0" borderId="0" xfId="0" applyFont="1" applyBorder="1" applyAlignment="1"/>
    <xf numFmtId="0" fontId="21" fillId="0" borderId="0" xfId="0" applyFont="1" applyBorder="1" applyAlignment="1">
      <alignment horizontal="right"/>
    </xf>
    <xf numFmtId="0" fontId="21" fillId="0" borderId="0" xfId="0" applyFont="1" applyAlignment="1"/>
    <xf numFmtId="0" fontId="24" fillId="0" borderId="0" xfId="0" applyFont="1"/>
    <xf numFmtId="31" fontId="24" fillId="0" borderId="0" xfId="0" applyNumberFormat="1" applyFont="1" applyBorder="1" applyAlignment="1">
      <alignment horizontal="right"/>
    </xf>
    <xf numFmtId="0" fontId="24" fillId="0" borderId="0" xfId="0" applyFont="1" applyBorder="1" applyAlignment="1">
      <alignment horizontal="center"/>
    </xf>
    <xf numFmtId="0" fontId="24" fillId="0" borderId="0" xfId="0" applyFont="1" applyBorder="1" applyAlignment="1">
      <alignment horizontal="right"/>
    </xf>
    <xf numFmtId="0" fontId="24" fillId="0" borderId="0" xfId="0" applyFont="1" applyAlignment="1">
      <alignment horizontal="right"/>
    </xf>
    <xf numFmtId="0" fontId="24" fillId="0" borderId="0" xfId="0" applyFont="1" applyBorder="1" applyAlignment="1">
      <alignment horizontal="left"/>
    </xf>
    <xf numFmtId="0" fontId="24" fillId="0" borderId="0" xfId="0" applyFont="1" applyBorder="1"/>
    <xf numFmtId="0" fontId="24" fillId="0" borderId="0" xfId="0" applyFont="1" applyAlignment="1">
      <alignment horizontal="left"/>
    </xf>
    <xf numFmtId="0" fontId="26" fillId="0" borderId="0" xfId="0" applyFont="1" applyAlignment="1">
      <alignment horizontal="right"/>
    </xf>
    <xf numFmtId="0" fontId="24" fillId="0" borderId="0" xfId="0" applyFont="1" applyAlignment="1">
      <alignment horizontal="center"/>
    </xf>
    <xf numFmtId="0" fontId="24" fillId="0" borderId="0" xfId="0" applyFont="1" applyAlignment="1">
      <alignment horizontal="justify" vertical="top"/>
    </xf>
    <xf numFmtId="0" fontId="24" fillId="0" borderId="0" xfId="0" applyFont="1" applyBorder="1" applyAlignment="1">
      <alignment horizontal="justify" vertical="top"/>
    </xf>
    <xf numFmtId="49" fontId="24" fillId="0" borderId="0" xfId="0" applyNumberFormat="1" applyFont="1" applyAlignment="1">
      <alignment horizontal="justify" vertical="top"/>
    </xf>
    <xf numFmtId="0" fontId="23" fillId="0" borderId="33" xfId="0" applyFont="1" applyBorder="1" applyAlignment="1">
      <alignment horizontal="center"/>
    </xf>
    <xf numFmtId="31" fontId="23" fillId="0" borderId="33" xfId="0" applyNumberFormat="1" applyFont="1" applyBorder="1" applyAlignment="1">
      <alignment horizontal="center"/>
    </xf>
    <xf numFmtId="0" fontId="23" fillId="0" borderId="34" xfId="0" applyFont="1" applyBorder="1" applyAlignment="1">
      <alignment horizontal="center"/>
    </xf>
    <xf numFmtId="31" fontId="23" fillId="0" borderId="0" xfId="0" applyNumberFormat="1" applyFont="1" applyBorder="1" applyAlignment="1">
      <alignment horizontal="center"/>
    </xf>
    <xf numFmtId="0" fontId="25" fillId="0" borderId="0" xfId="0" applyFont="1" applyBorder="1" applyAlignment="1">
      <alignment horizontal="left"/>
    </xf>
    <xf numFmtId="0" fontId="21" fillId="0" borderId="0" xfId="0" applyFont="1" applyBorder="1" applyAlignment="1">
      <alignment horizontal="left"/>
    </xf>
    <xf numFmtId="0" fontId="27" fillId="0" borderId="0" xfId="0" applyFont="1" applyFill="1" applyBorder="1" applyAlignment="1" applyProtection="1">
      <alignment horizontal="center" vertical="center"/>
      <protection hidden="1"/>
    </xf>
    <xf numFmtId="0" fontId="28" fillId="0" borderId="0" xfId="0" applyFont="1"/>
    <xf numFmtId="0" fontId="28" fillId="0" borderId="0" xfId="0" applyFont="1" applyFill="1" applyBorder="1" applyAlignment="1" applyProtection="1">
      <alignment horizontal="center" vertical="center"/>
      <protection hidden="1"/>
    </xf>
    <xf numFmtId="38" fontId="11" fillId="0" borderId="0" xfId="2" applyFont="1"/>
    <xf numFmtId="38" fontId="11" fillId="0" borderId="0" xfId="2" applyFont="1" applyBorder="1"/>
    <xf numFmtId="38" fontId="11" fillId="0" borderId="0" xfId="2" applyFont="1" applyFill="1" applyBorder="1"/>
    <xf numFmtId="177" fontId="11" fillId="0" borderId="0" xfId="2" applyNumberFormat="1" applyFont="1" applyFill="1" applyBorder="1"/>
    <xf numFmtId="38" fontId="11" fillId="0" borderId="0" xfId="2" applyFont="1" applyFill="1" applyBorder="1" applyAlignment="1">
      <alignment horizontal="center"/>
    </xf>
    <xf numFmtId="38" fontId="11" fillId="3" borderId="3" xfId="2" applyFont="1" applyFill="1" applyBorder="1" applyAlignment="1">
      <alignment horizontal="center"/>
    </xf>
    <xf numFmtId="177" fontId="11" fillId="0" borderId="0" xfId="2" applyNumberFormat="1" applyFont="1" applyFill="1" applyBorder="1" applyAlignment="1">
      <alignment horizontal="right"/>
    </xf>
    <xf numFmtId="0" fontId="0" fillId="0" borderId="35" xfId="0" applyBorder="1"/>
    <xf numFmtId="38" fontId="11" fillId="0" borderId="3" xfId="2" applyFont="1" applyFill="1" applyBorder="1"/>
    <xf numFmtId="0" fontId="0" fillId="3" borderId="3" xfId="0" applyFill="1" applyBorder="1" applyAlignment="1">
      <alignment horizontal="center"/>
    </xf>
    <xf numFmtId="38" fontId="11" fillId="0" borderId="3" xfId="2" applyFont="1" applyBorder="1"/>
    <xf numFmtId="38" fontId="11" fillId="0" borderId="22" xfId="2" applyFont="1" applyBorder="1"/>
    <xf numFmtId="38" fontId="11" fillId="3" borderId="3" xfId="2" applyFont="1" applyFill="1" applyBorder="1"/>
    <xf numFmtId="0" fontId="28" fillId="0" borderId="0" xfId="0" applyFont="1" applyAlignment="1">
      <alignment vertical="center"/>
    </xf>
    <xf numFmtId="0" fontId="0" fillId="0" borderId="28" xfId="0" applyFill="1" applyBorder="1" applyAlignment="1">
      <alignment vertical="center"/>
    </xf>
    <xf numFmtId="49" fontId="0" fillId="4" borderId="36" xfId="0" applyNumberFormat="1" applyFill="1" applyBorder="1" applyAlignment="1" applyProtection="1">
      <alignment vertical="center" shrinkToFit="1"/>
      <protection locked="0"/>
    </xf>
    <xf numFmtId="0" fontId="30" fillId="0" borderId="0" xfId="0" applyFont="1" applyFill="1" applyAlignment="1">
      <alignment vertical="center"/>
    </xf>
    <xf numFmtId="0" fontId="28" fillId="0" borderId="0" xfId="6" applyFont="1">
      <alignment vertical="center"/>
    </xf>
    <xf numFmtId="0" fontId="0" fillId="0" borderId="0" xfId="0" applyProtection="1"/>
    <xf numFmtId="0" fontId="0" fillId="0" borderId="0" xfId="0" applyBorder="1" applyProtection="1"/>
    <xf numFmtId="0" fontId="7" fillId="0" borderId="0" xfId="0" applyFont="1" applyBorder="1"/>
    <xf numFmtId="0" fontId="0" fillId="3" borderId="0" xfId="0" applyFill="1" applyBorder="1" applyAlignment="1" applyProtection="1">
      <alignment horizontal="right"/>
      <protection locked="0"/>
    </xf>
    <xf numFmtId="180" fontId="32" fillId="0" borderId="0" xfId="0" applyNumberFormat="1" applyFont="1"/>
    <xf numFmtId="180" fontId="11" fillId="0" borderId="0" xfId="0" applyNumberFormat="1" applyFont="1"/>
    <xf numFmtId="0" fontId="2" fillId="0" borderId="0" xfId="0" applyFont="1" applyBorder="1" applyAlignment="1">
      <alignment vertical="top"/>
    </xf>
    <xf numFmtId="0" fontId="2" fillId="0" borderId="0" xfId="0" applyFont="1" applyBorder="1" applyAlignment="1">
      <alignment vertical="top" wrapText="1"/>
    </xf>
    <xf numFmtId="0" fontId="8" fillId="0" borderId="0" xfId="0" applyFont="1" applyAlignment="1">
      <alignment horizontal="left" vertical="center"/>
    </xf>
    <xf numFmtId="0" fontId="0" fillId="0" borderId="0" xfId="0" applyAlignment="1">
      <alignment horizontal="left"/>
    </xf>
    <xf numFmtId="0" fontId="31" fillId="0" borderId="0" xfId="0" applyFont="1"/>
    <xf numFmtId="0" fontId="0" fillId="0" borderId="29" xfId="0" applyBorder="1" applyAlignment="1">
      <alignment vertical="center"/>
    </xf>
    <xf numFmtId="0" fontId="5" fillId="0" borderId="37" xfId="0" applyFont="1" applyBorder="1" applyAlignment="1">
      <alignment vertical="center"/>
    </xf>
    <xf numFmtId="0" fontId="0" fillId="0" borderId="37" xfId="0" applyBorder="1" applyAlignment="1">
      <alignment vertical="center"/>
    </xf>
    <xf numFmtId="0" fontId="0" fillId="0" borderId="37" xfId="0" applyBorder="1" applyAlignment="1">
      <alignment horizontal="left" vertical="center"/>
    </xf>
    <xf numFmtId="0" fontId="0" fillId="0" borderId="17" xfId="0" applyBorder="1" applyAlignment="1">
      <alignment horizontal="left" vertical="center"/>
    </xf>
    <xf numFmtId="0" fontId="5" fillId="0" borderId="1" xfId="0" applyFont="1" applyBorder="1" applyAlignment="1">
      <alignment vertical="center"/>
    </xf>
    <xf numFmtId="0" fontId="5" fillId="0" borderId="17" xfId="0" applyFont="1" applyBorder="1" applyAlignment="1">
      <alignment vertical="center"/>
    </xf>
    <xf numFmtId="0" fontId="5" fillId="6" borderId="1" xfId="0" applyFont="1" applyFill="1" applyBorder="1" applyAlignment="1">
      <alignment vertical="center"/>
    </xf>
    <xf numFmtId="0" fontId="0" fillId="0" borderId="17" xfId="0" applyBorder="1" applyAlignment="1">
      <alignment vertical="center"/>
    </xf>
    <xf numFmtId="0" fontId="33" fillId="0" borderId="0" xfId="4" applyFont="1" applyAlignment="1">
      <alignment vertical="center"/>
    </xf>
    <xf numFmtId="0" fontId="33" fillId="0" borderId="0" xfId="5" applyFont="1" applyFill="1" applyAlignment="1">
      <alignment vertical="center"/>
    </xf>
    <xf numFmtId="0" fontId="34" fillId="0" borderId="0" xfId="0" applyFont="1"/>
    <xf numFmtId="31" fontId="21" fillId="0" borderId="0" xfId="0" applyNumberFormat="1" applyFont="1" applyAlignment="1"/>
    <xf numFmtId="0" fontId="21" fillId="0" borderId="0" xfId="0" applyFont="1" applyAlignment="1">
      <alignment vertical="top"/>
    </xf>
    <xf numFmtId="3" fontId="21" fillId="0" borderId="0" xfId="0" applyNumberFormat="1" applyFont="1" applyAlignment="1"/>
    <xf numFmtId="0" fontId="30" fillId="0" borderId="0" xfId="0" applyFont="1"/>
    <xf numFmtId="0" fontId="0" fillId="3" borderId="2" xfId="0" applyFill="1" applyBorder="1" applyAlignment="1">
      <alignment vertical="center"/>
    </xf>
    <xf numFmtId="0" fontId="24" fillId="0" borderId="0" xfId="0" applyFont="1" applyAlignment="1"/>
    <xf numFmtId="189" fontId="0" fillId="0" borderId="38" xfId="0" applyNumberFormat="1" applyBorder="1" applyAlignment="1" applyProtection="1">
      <alignment vertical="center"/>
    </xf>
    <xf numFmtId="189" fontId="0" fillId="0" borderId="39" xfId="0" applyNumberFormat="1" applyBorder="1" applyAlignment="1" applyProtection="1">
      <alignment vertical="center"/>
    </xf>
    <xf numFmtId="10" fontId="0" fillId="0" borderId="40" xfId="0" applyNumberFormat="1" applyBorder="1" applyAlignment="1" applyProtection="1">
      <alignment vertical="center"/>
    </xf>
    <xf numFmtId="0" fontId="0" fillId="0" borderId="20" xfId="0" applyNumberFormat="1" applyFill="1" applyBorder="1" applyAlignment="1" applyProtection="1">
      <alignment vertical="center"/>
    </xf>
    <xf numFmtId="0" fontId="0" fillId="0" borderId="0" xfId="0" applyNumberFormat="1" applyFill="1" applyBorder="1" applyAlignment="1" applyProtection="1">
      <alignment vertical="center"/>
    </xf>
    <xf numFmtId="0" fontId="0" fillId="0" borderId="18" xfId="0" applyNumberFormat="1" applyFill="1" applyBorder="1" applyAlignment="1" applyProtection="1">
      <alignment vertical="center"/>
    </xf>
    <xf numFmtId="0" fontId="3" fillId="0" borderId="1" xfId="0" applyFont="1" applyFill="1" applyBorder="1" applyAlignment="1" applyProtection="1">
      <alignment vertical="center"/>
      <protection hidden="1"/>
    </xf>
    <xf numFmtId="0" fontId="0" fillId="0" borderId="41" xfId="0" applyBorder="1" applyAlignment="1">
      <alignment vertical="center"/>
    </xf>
    <xf numFmtId="0" fontId="0" fillId="0" borderId="26" xfId="0" applyBorder="1" applyAlignment="1" applyProtection="1">
      <alignment vertical="center"/>
    </xf>
    <xf numFmtId="0" fontId="0" fillId="3" borderId="42" xfId="0" applyFill="1" applyBorder="1" applyAlignment="1" applyProtection="1">
      <alignment vertical="center"/>
    </xf>
    <xf numFmtId="0" fontId="0" fillId="0" borderId="28" xfId="0" applyBorder="1" applyAlignment="1" applyProtection="1">
      <alignment horizontal="left" vertical="center"/>
    </xf>
    <xf numFmtId="0" fontId="0" fillId="0" borderId="26" xfId="0" applyBorder="1" applyAlignment="1" applyProtection="1">
      <alignment horizontal="left" vertical="center"/>
    </xf>
    <xf numFmtId="0" fontId="0" fillId="0" borderId="26" xfId="0" applyFill="1" applyBorder="1" applyAlignment="1">
      <alignment vertical="center"/>
    </xf>
    <xf numFmtId="0" fontId="0" fillId="0" borderId="0" xfId="0" applyBorder="1" applyAlignment="1" applyProtection="1">
      <alignment horizontal="left" vertical="center"/>
    </xf>
    <xf numFmtId="0" fontId="0" fillId="0" borderId="0" xfId="0" applyBorder="1" applyAlignment="1" applyProtection="1">
      <protection locked="0"/>
    </xf>
    <xf numFmtId="191" fontId="0" fillId="0" borderId="0" xfId="0" applyNumberFormat="1" applyAlignment="1" applyProtection="1">
      <protection locked="0"/>
    </xf>
    <xf numFmtId="0" fontId="0" fillId="0" borderId="0" xfId="0" applyAlignment="1" applyProtection="1">
      <protection locked="0"/>
    </xf>
    <xf numFmtId="183" fontId="0" fillId="0" borderId="0" xfId="0" applyNumberFormat="1" applyFill="1" applyBorder="1" applyAlignment="1"/>
    <xf numFmtId="0" fontId="0" fillId="0" borderId="0" xfId="0" applyFill="1" applyAlignment="1"/>
    <xf numFmtId="0" fontId="0" fillId="0" borderId="0" xfId="0" applyFill="1" applyBorder="1" applyAlignment="1" applyProtection="1">
      <alignment vertical="center"/>
    </xf>
    <xf numFmtId="0" fontId="0" fillId="0" borderId="18" xfId="0" applyFill="1" applyBorder="1" applyAlignment="1" applyProtection="1">
      <alignment vertical="center"/>
    </xf>
    <xf numFmtId="0" fontId="0" fillId="0" borderId="22" xfId="0" applyFill="1" applyBorder="1" applyAlignment="1" applyProtection="1">
      <alignment vertical="center"/>
    </xf>
    <xf numFmtId="0" fontId="36" fillId="0" borderId="0" xfId="0" applyFont="1" applyBorder="1" applyAlignment="1">
      <alignment vertical="center"/>
    </xf>
    <xf numFmtId="185" fontId="0" fillId="0" borderId="0" xfId="0" applyNumberFormat="1" applyFill="1" applyBorder="1" applyAlignment="1" applyProtection="1">
      <alignment horizontal="right"/>
    </xf>
    <xf numFmtId="183" fontId="0" fillId="0" borderId="0" xfId="0" applyNumberFormat="1" applyFill="1" applyBorder="1" applyAlignment="1" applyProtection="1">
      <protection locked="0"/>
    </xf>
    <xf numFmtId="0" fontId="0" fillId="0" borderId="0" xfId="0" applyFill="1" applyBorder="1" applyAlignment="1" applyProtection="1">
      <protection locked="0"/>
    </xf>
    <xf numFmtId="185" fontId="0" fillId="0" borderId="0" xfId="0" applyNumberFormat="1" applyFill="1" applyBorder="1" applyAlignment="1" applyProtection="1"/>
    <xf numFmtId="185" fontId="0" fillId="0" borderId="0" xfId="0" applyNumberFormat="1" applyFill="1" applyBorder="1" applyAlignment="1">
      <alignment horizontal="right"/>
    </xf>
    <xf numFmtId="180" fontId="0" fillId="0" borderId="0" xfId="0" applyNumberFormat="1" applyFill="1" applyBorder="1" applyAlignment="1" applyProtection="1">
      <protection locked="0"/>
    </xf>
    <xf numFmtId="185" fontId="0" fillId="0" borderId="0" xfId="0" applyNumberFormat="1" applyFill="1" applyBorder="1" applyAlignment="1"/>
    <xf numFmtId="0" fontId="1" fillId="0" borderId="0" xfId="6" applyFont="1">
      <alignment vertical="center"/>
    </xf>
    <xf numFmtId="0" fontId="5" fillId="0" borderId="0" xfId="0" applyFont="1"/>
    <xf numFmtId="0" fontId="1" fillId="0" borderId="0" xfId="0" applyFont="1" applyBorder="1" applyAlignment="1"/>
    <xf numFmtId="0" fontId="5" fillId="4" borderId="1" xfId="0" applyFont="1" applyFill="1" applyBorder="1" applyAlignment="1">
      <alignment horizontal="left"/>
    </xf>
    <xf numFmtId="0" fontId="5" fillId="0" borderId="0" xfId="0" applyFont="1" applyAlignment="1">
      <alignment horizontal="right"/>
    </xf>
    <xf numFmtId="0" fontId="7" fillId="0" borderId="0" xfId="0" applyFont="1" applyAlignment="1"/>
    <xf numFmtId="0" fontId="7" fillId="0" borderId="0" xfId="0" applyFont="1" applyFill="1" applyBorder="1" applyAlignment="1"/>
    <xf numFmtId="179" fontId="0" fillId="0" borderId="0" xfId="0" applyNumberFormat="1" applyFill="1" applyBorder="1" applyAlignment="1" applyProtection="1">
      <alignment horizontal="right" vertical="center" shrinkToFit="1"/>
      <protection locked="0"/>
    </xf>
    <xf numFmtId="0" fontId="0" fillId="0" borderId="0" xfId="0" applyFill="1" applyBorder="1" applyAlignment="1" applyProtection="1">
      <alignment horizontal="right" vertical="center" shrinkToFit="1"/>
      <protection locked="0"/>
    </xf>
    <xf numFmtId="0" fontId="5" fillId="0" borderId="0" xfId="0" applyFont="1" applyFill="1" applyBorder="1"/>
    <xf numFmtId="0" fontId="5" fillId="0" borderId="0" xfId="0" applyFont="1" applyBorder="1" applyAlignment="1"/>
    <xf numFmtId="180" fontId="5" fillId="0" borderId="0" xfId="0" applyNumberFormat="1" applyFont="1" applyFill="1" applyBorder="1" applyAlignment="1" applyProtection="1">
      <protection locked="0"/>
    </xf>
    <xf numFmtId="183" fontId="0" fillId="0" borderId="0" xfId="0" applyNumberFormat="1" applyBorder="1" applyAlignment="1"/>
    <xf numFmtId="179" fontId="0" fillId="0" borderId="0" xfId="0" applyNumberFormat="1" applyBorder="1" applyAlignment="1">
      <alignment vertical="center" shrinkToFit="1"/>
    </xf>
    <xf numFmtId="0" fontId="0" fillId="0" borderId="0" xfId="0" applyBorder="1" applyAlignment="1">
      <alignment vertical="center" shrinkToFit="1"/>
    </xf>
    <xf numFmtId="3" fontId="0" fillId="0" borderId="0" xfId="0" applyNumberFormat="1" applyBorder="1" applyAlignment="1"/>
    <xf numFmtId="0" fontId="6" fillId="0" borderId="0" xfId="0" applyFont="1" applyAlignment="1"/>
    <xf numFmtId="38" fontId="0" fillId="0" borderId="0" xfId="0" applyNumberFormat="1" applyBorder="1" applyAlignment="1" applyProtection="1">
      <protection locked="0"/>
    </xf>
    <xf numFmtId="38" fontId="0" fillId="0" borderId="0" xfId="0" applyNumberFormat="1" applyBorder="1" applyAlignment="1"/>
    <xf numFmtId="180" fontId="5" fillId="0" borderId="0" xfId="0" applyNumberFormat="1" applyFont="1" applyFill="1" applyBorder="1" applyAlignment="1" applyProtection="1">
      <alignment horizontal="right"/>
      <protection locked="0"/>
    </xf>
    <xf numFmtId="0" fontId="37" fillId="0" borderId="0" xfId="0" applyFont="1" applyAlignment="1"/>
    <xf numFmtId="0" fontId="0" fillId="0" borderId="0" xfId="0" applyFill="1" applyBorder="1" applyAlignment="1">
      <alignment vertical="top"/>
    </xf>
    <xf numFmtId="0" fontId="0" fillId="0" borderId="22" xfId="0" applyFill="1" applyBorder="1" applyAlignment="1">
      <alignment vertical="top"/>
    </xf>
    <xf numFmtId="0" fontId="0" fillId="3" borderId="0" xfId="0" applyFill="1" applyAlignment="1" applyProtection="1">
      <alignment vertical="center"/>
      <protection locked="0"/>
    </xf>
    <xf numFmtId="0" fontId="0" fillId="0" borderId="26" xfId="0" applyFill="1" applyBorder="1" applyAlignment="1">
      <alignment horizontal="right" vertical="center"/>
    </xf>
    <xf numFmtId="0" fontId="0" fillId="0" borderId="0" xfId="0" applyFill="1" applyBorder="1" applyAlignment="1" applyProtection="1">
      <alignment vertical="center"/>
      <protection locked="0"/>
    </xf>
    <xf numFmtId="0" fontId="0" fillId="0" borderId="28" xfId="0" applyFill="1" applyBorder="1" applyAlignment="1" applyProtection="1">
      <alignment vertical="center"/>
    </xf>
    <xf numFmtId="0" fontId="0" fillId="0" borderId="43" xfId="0" applyBorder="1" applyAlignment="1" applyProtection="1">
      <alignment vertical="center"/>
    </xf>
    <xf numFmtId="0" fontId="0" fillId="0" borderId="38" xfId="0" applyBorder="1" applyAlignment="1" applyProtection="1">
      <alignment vertical="center"/>
    </xf>
    <xf numFmtId="0" fontId="0" fillId="0" borderId="29" xfId="0" applyFill="1" applyBorder="1" applyAlignment="1" applyProtection="1">
      <alignment vertical="center"/>
    </xf>
    <xf numFmtId="0" fontId="0" fillId="0" borderId="44" xfId="0" applyBorder="1" applyAlignment="1" applyProtection="1">
      <alignment vertical="center"/>
    </xf>
    <xf numFmtId="0" fontId="0" fillId="0" borderId="45" xfId="0" applyFill="1" applyBorder="1" applyAlignment="1" applyProtection="1">
      <alignment vertical="center"/>
    </xf>
    <xf numFmtId="0" fontId="0" fillId="0" borderId="20" xfId="0" applyFill="1" applyBorder="1" applyAlignment="1" applyProtection="1">
      <alignment horizontal="center" vertical="center"/>
    </xf>
    <xf numFmtId="0" fontId="0" fillId="0" borderId="17" xfId="0" applyBorder="1" applyAlignment="1" applyProtection="1">
      <alignment vertical="center"/>
    </xf>
    <xf numFmtId="183" fontId="1" fillId="0" borderId="0" xfId="0" applyNumberFormat="1" applyFont="1" applyFill="1" applyBorder="1" applyAlignment="1">
      <alignment horizontal="center" vertical="center"/>
    </xf>
    <xf numFmtId="0" fontId="1" fillId="0" borderId="0" xfId="0" applyFont="1" applyFill="1" applyBorder="1" applyAlignment="1">
      <alignment horizontal="center" vertical="center"/>
    </xf>
    <xf numFmtId="38" fontId="1" fillId="0" borderId="0" xfId="2" applyFont="1" applyFill="1" applyBorder="1" applyAlignment="1">
      <alignment horizontal="center" vertical="center"/>
    </xf>
    <xf numFmtId="183" fontId="39" fillId="3" borderId="0" xfId="0" applyNumberFormat="1" applyFont="1" applyFill="1" applyBorder="1" applyAlignment="1" applyProtection="1">
      <alignment vertical="center"/>
      <protection locked="0"/>
    </xf>
    <xf numFmtId="183" fontId="39" fillId="3" borderId="0" xfId="0" applyNumberFormat="1" applyFont="1" applyFill="1" applyBorder="1" applyAlignment="1" applyProtection="1">
      <alignment horizontal="center" vertical="center"/>
      <protection locked="0"/>
    </xf>
    <xf numFmtId="183" fontId="39" fillId="3" borderId="0" xfId="0" applyNumberFormat="1" applyFont="1" applyFill="1" applyBorder="1" applyAlignment="1" applyProtection="1">
      <protection locked="0"/>
    </xf>
    <xf numFmtId="0" fontId="39" fillId="0" borderId="0" xfId="0" applyFont="1" applyBorder="1" applyAlignment="1"/>
    <xf numFmtId="0" fontId="35" fillId="0" borderId="0" xfId="0" applyFont="1" applyAlignment="1">
      <alignment vertical="top"/>
    </xf>
    <xf numFmtId="0" fontId="0" fillId="0" borderId="17" xfId="0" applyBorder="1" applyAlignment="1" applyProtection="1">
      <alignment vertical="center"/>
      <protection locked="0"/>
    </xf>
    <xf numFmtId="194" fontId="39" fillId="3" borderId="0" xfId="0" applyNumberFormat="1" applyFont="1" applyFill="1" applyBorder="1" applyAlignment="1" applyProtection="1">
      <alignment vertical="center" shrinkToFit="1"/>
      <protection locked="0"/>
    </xf>
    <xf numFmtId="0" fontId="7" fillId="0" borderId="46" xfId="0" applyFont="1" applyBorder="1" applyAlignment="1">
      <alignment vertical="center"/>
    </xf>
    <xf numFmtId="0" fontId="0" fillId="0" borderId="46" xfId="0" applyBorder="1" applyAlignment="1">
      <alignment vertical="center"/>
    </xf>
    <xf numFmtId="0" fontId="7" fillId="0" borderId="46" xfId="0" applyFont="1" applyFill="1" applyBorder="1" applyAlignment="1">
      <alignment vertical="center"/>
    </xf>
    <xf numFmtId="0" fontId="0" fillId="0" borderId="46" xfId="0" applyFill="1" applyBorder="1" applyAlignment="1">
      <alignment horizontal="left" vertical="center"/>
    </xf>
    <xf numFmtId="183" fontId="0" fillId="0" borderId="46" xfId="0" applyNumberFormat="1" applyFill="1" applyBorder="1" applyAlignment="1">
      <alignment vertical="center"/>
    </xf>
    <xf numFmtId="0" fontId="0" fillId="0" borderId="46" xfId="0" applyFill="1" applyBorder="1" applyAlignment="1">
      <alignment vertical="center"/>
    </xf>
    <xf numFmtId="0" fontId="0" fillId="0" borderId="47" xfId="0" applyBorder="1" applyAlignment="1">
      <alignment vertical="center"/>
    </xf>
    <xf numFmtId="0" fontId="7" fillId="0" borderId="48" xfId="0" applyFont="1" applyFill="1" applyBorder="1" applyAlignment="1">
      <alignment vertical="center"/>
    </xf>
    <xf numFmtId="0" fontId="0" fillId="0" borderId="46" xfId="0" applyFill="1" applyBorder="1" applyAlignment="1">
      <alignment horizontal="center" vertical="center"/>
    </xf>
    <xf numFmtId="0" fontId="7" fillId="0" borderId="48" xfId="0" applyFont="1" applyBorder="1" applyAlignment="1">
      <alignment vertical="center"/>
    </xf>
    <xf numFmtId="0" fontId="0" fillId="0" borderId="49" xfId="0" applyBorder="1" applyAlignment="1">
      <alignment vertical="center"/>
    </xf>
    <xf numFmtId="183" fontId="0" fillId="0" borderId="46" xfId="0" applyNumberFormat="1" applyFill="1" applyBorder="1" applyAlignment="1">
      <alignment horizontal="center" vertical="center"/>
    </xf>
    <xf numFmtId="0" fontId="0" fillId="0" borderId="47" xfId="0" applyFill="1" applyBorder="1" applyAlignment="1">
      <alignment vertical="center"/>
    </xf>
    <xf numFmtId="0" fontId="0" fillId="0" borderId="29" xfId="0" applyBorder="1" applyAlignment="1">
      <alignment horizontal="center"/>
    </xf>
    <xf numFmtId="0" fontId="0" fillId="0" borderId="50" xfId="0" applyBorder="1"/>
    <xf numFmtId="191" fontId="0" fillId="0" borderId="50" xfId="0" applyNumberFormat="1" applyBorder="1" applyAlignment="1" applyProtection="1">
      <protection locked="0"/>
    </xf>
    <xf numFmtId="0" fontId="0" fillId="0" borderId="50" xfId="0" applyBorder="1" applyAlignment="1"/>
    <xf numFmtId="0" fontId="0" fillId="0" borderId="50" xfId="0" applyBorder="1" applyAlignment="1">
      <alignment horizontal="right"/>
    </xf>
    <xf numFmtId="0" fontId="0" fillId="0" borderId="46" xfId="0" applyBorder="1"/>
    <xf numFmtId="0" fontId="0" fillId="0" borderId="46" xfId="0" applyBorder="1" applyAlignment="1">
      <alignment horizontal="right"/>
    </xf>
    <xf numFmtId="186" fontId="0" fillId="0" borderId="46" xfId="0" applyNumberFormat="1" applyBorder="1" applyAlignment="1"/>
    <xf numFmtId="186" fontId="0" fillId="0" borderId="50" xfId="0" applyNumberFormat="1" applyBorder="1" applyAlignment="1"/>
    <xf numFmtId="0" fontId="0" fillId="0" borderId="17" xfId="0" applyBorder="1" applyAlignment="1" applyProtection="1"/>
    <xf numFmtId="0" fontId="0" fillId="0" borderId="29" xfId="0" applyBorder="1" applyAlignment="1" applyProtection="1">
      <alignment horizontal="center"/>
    </xf>
    <xf numFmtId="0" fontId="0" fillId="0" borderId="29" xfId="0" applyBorder="1"/>
    <xf numFmtId="0" fontId="0" fillId="0" borderId="29" xfId="0" applyBorder="1" applyProtection="1"/>
    <xf numFmtId="0" fontId="0" fillId="3" borderId="51" xfId="0" applyFill="1" applyBorder="1" applyAlignment="1" applyProtection="1">
      <alignment vertical="center"/>
    </xf>
    <xf numFmtId="0" fontId="0" fillId="0" borderId="14" xfId="0" applyBorder="1" applyProtection="1"/>
    <xf numFmtId="0" fontId="0" fillId="0" borderId="14" xfId="0" applyBorder="1" applyAlignment="1" applyProtection="1">
      <alignment horizontal="center" vertical="center"/>
    </xf>
    <xf numFmtId="0" fontId="0" fillId="0" borderId="14" xfId="0" applyBorder="1"/>
    <xf numFmtId="190" fontId="0" fillId="3" borderId="14" xfId="0" applyNumberFormat="1" applyFill="1" applyBorder="1" applyAlignment="1" applyProtection="1">
      <alignment vertical="center"/>
      <protection locked="0"/>
    </xf>
    <xf numFmtId="0" fontId="0" fillId="0" borderId="14" xfId="0" applyBorder="1" applyAlignment="1">
      <alignment horizontal="right"/>
    </xf>
    <xf numFmtId="0" fontId="0" fillId="3" borderId="14" xfId="0" applyNumberFormat="1" applyFill="1" applyBorder="1" applyProtection="1">
      <protection locked="0"/>
    </xf>
    <xf numFmtId="0" fontId="0" fillId="3" borderId="52" xfId="0" applyFill="1" applyBorder="1" applyProtection="1">
      <protection locked="0"/>
    </xf>
    <xf numFmtId="0" fontId="0" fillId="3" borderId="21" xfId="0" applyFill="1" applyBorder="1" applyAlignment="1" applyProtection="1">
      <alignment vertical="center"/>
    </xf>
    <xf numFmtId="0" fontId="0" fillId="3" borderId="30" xfId="0" applyFill="1" applyBorder="1" applyProtection="1">
      <protection locked="0"/>
    </xf>
    <xf numFmtId="0" fontId="0" fillId="3" borderId="31" xfId="0" applyFill="1" applyBorder="1" applyAlignment="1" applyProtection="1">
      <alignment vertical="center"/>
    </xf>
    <xf numFmtId="0" fontId="0" fillId="0" borderId="2" xfId="0" applyBorder="1" applyProtection="1"/>
    <xf numFmtId="0" fontId="0" fillId="0" borderId="2" xfId="0" applyBorder="1" applyAlignment="1" applyProtection="1">
      <alignment horizontal="center" vertical="center"/>
    </xf>
    <xf numFmtId="190" fontId="0" fillId="3" borderId="2" xfId="0" applyNumberFormat="1" applyFill="1" applyBorder="1" applyAlignment="1" applyProtection="1">
      <alignment vertical="center"/>
      <protection locked="0"/>
    </xf>
    <xf numFmtId="0" fontId="0" fillId="0" borderId="2" xfId="0" applyBorder="1" applyAlignment="1">
      <alignment horizontal="right"/>
    </xf>
    <xf numFmtId="0" fontId="0" fillId="3" borderId="2" xfId="0" applyNumberFormat="1" applyFill="1" applyBorder="1" applyProtection="1">
      <protection locked="0"/>
    </xf>
    <xf numFmtId="0" fontId="0" fillId="3" borderId="32" xfId="0" applyFill="1" applyBorder="1" applyProtection="1">
      <protection locked="0"/>
    </xf>
    <xf numFmtId="0" fontId="0" fillId="0" borderId="17" xfId="0" applyBorder="1" applyAlignment="1"/>
    <xf numFmtId="0" fontId="0" fillId="3" borderId="51" xfId="0" applyFill="1" applyBorder="1" applyAlignment="1" applyProtection="1">
      <alignment vertical="center"/>
      <protection locked="0"/>
    </xf>
    <xf numFmtId="0" fontId="0" fillId="0" borderId="14" xfId="0" applyBorder="1" applyAlignment="1">
      <alignment horizontal="center" vertical="center"/>
    </xf>
    <xf numFmtId="0" fontId="0" fillId="3" borderId="21" xfId="0" applyFill="1" applyBorder="1" applyAlignment="1" applyProtection="1">
      <alignment vertical="center"/>
      <protection locked="0"/>
    </xf>
    <xf numFmtId="0" fontId="0" fillId="3" borderId="31" xfId="0" applyFill="1" applyBorder="1" applyAlignment="1" applyProtection="1">
      <alignment vertical="center"/>
      <protection locked="0"/>
    </xf>
    <xf numFmtId="0" fontId="0" fillId="0" borderId="2" xfId="0" applyBorder="1" applyAlignment="1">
      <alignment horizontal="center" vertical="center"/>
    </xf>
    <xf numFmtId="0" fontId="0" fillId="0" borderId="51" xfId="0" applyBorder="1"/>
    <xf numFmtId="0" fontId="0" fillId="0" borderId="52" xfId="0" applyBorder="1"/>
    <xf numFmtId="0" fontId="0" fillId="0" borderId="31" xfId="0" applyBorder="1"/>
    <xf numFmtId="191" fontId="0" fillId="0" borderId="0" xfId="0" applyNumberFormat="1" applyFill="1" applyBorder="1" applyAlignment="1" applyProtection="1">
      <protection locked="0"/>
    </xf>
    <xf numFmtId="185" fontId="0" fillId="0" borderId="50" xfId="0" applyNumberFormat="1" applyBorder="1" applyAlignment="1"/>
    <xf numFmtId="183" fontId="38" fillId="3" borderId="0" xfId="0" applyNumberFormat="1" applyFont="1" applyFill="1" applyBorder="1" applyAlignment="1" applyProtection="1">
      <protection locked="0"/>
    </xf>
    <xf numFmtId="183" fontId="38" fillId="3" borderId="0" xfId="0" applyNumberFormat="1" applyFont="1" applyFill="1" applyBorder="1" applyAlignment="1" applyProtection="1">
      <alignment vertical="center"/>
      <protection locked="0"/>
    </xf>
    <xf numFmtId="38" fontId="38" fillId="0" borderId="0" xfId="2" applyFont="1" applyFill="1" applyBorder="1" applyAlignment="1">
      <alignment horizontal="center" vertical="center"/>
    </xf>
    <xf numFmtId="193" fontId="38" fillId="3" borderId="0" xfId="0" applyNumberFormat="1" applyFont="1" applyFill="1" applyBorder="1" applyAlignment="1" applyProtection="1">
      <alignment vertical="center" shrinkToFit="1"/>
      <protection locked="0"/>
    </xf>
    <xf numFmtId="194" fontId="38" fillId="3" borderId="0" xfId="0" applyNumberFormat="1" applyFont="1" applyFill="1" applyBorder="1" applyAlignment="1" applyProtection="1">
      <alignment vertical="center" shrinkToFit="1"/>
      <protection locked="0"/>
    </xf>
    <xf numFmtId="193" fontId="39" fillId="3" borderId="0" xfId="0" applyNumberFormat="1" applyFont="1" applyFill="1" applyBorder="1" applyAlignment="1" applyProtection="1">
      <alignment vertical="center" shrinkToFit="1"/>
      <protection locked="0"/>
    </xf>
    <xf numFmtId="0" fontId="0" fillId="0" borderId="0" xfId="0" applyFont="1"/>
    <xf numFmtId="195" fontId="0" fillId="10" borderId="0" xfId="0" applyNumberFormat="1" applyFill="1" applyAlignment="1">
      <alignment vertical="center"/>
    </xf>
    <xf numFmtId="2" fontId="11" fillId="0" borderId="0" xfId="0" applyNumberFormat="1" applyFont="1" applyFill="1" applyAlignment="1" applyProtection="1">
      <alignment vertical="center"/>
      <protection locked="0"/>
    </xf>
    <xf numFmtId="0" fontId="0" fillId="10" borderId="0" xfId="0" applyFill="1" applyAlignment="1">
      <alignment vertical="center"/>
    </xf>
    <xf numFmtId="0" fontId="0" fillId="10" borderId="0" xfId="0" applyFill="1"/>
    <xf numFmtId="196" fontId="0" fillId="10" borderId="0" xfId="0" applyNumberFormat="1" applyFill="1"/>
    <xf numFmtId="0" fontId="11" fillId="0" borderId="0" xfId="6" applyFont="1" applyFill="1">
      <alignment vertical="center"/>
    </xf>
    <xf numFmtId="0" fontId="0" fillId="0" borderId="0" xfId="0"/>
    <xf numFmtId="0" fontId="0" fillId="0" borderId="0" xfId="0" applyBorder="1" applyAlignment="1">
      <alignment vertical="center"/>
    </xf>
    <xf numFmtId="191" fontId="39" fillId="0" borderId="0" xfId="0" applyNumberFormat="1" applyFont="1" applyFill="1" applyBorder="1" applyAlignment="1" applyProtection="1">
      <alignment vertical="center" shrinkToFit="1"/>
      <protection locked="0"/>
    </xf>
    <xf numFmtId="191" fontId="38" fillId="0" borderId="0" xfId="0" applyNumberFormat="1" applyFont="1" applyFill="1" applyBorder="1" applyAlignment="1" applyProtection="1">
      <alignment vertical="center" shrinkToFit="1"/>
      <protection locked="0"/>
    </xf>
    <xf numFmtId="2" fontId="0" fillId="0" borderId="0" xfId="0" applyNumberFormat="1" applyFill="1" applyBorder="1" applyAlignment="1">
      <alignment horizontal="center" vertical="center"/>
    </xf>
    <xf numFmtId="0" fontId="8" fillId="13" borderId="0" xfId="0" applyFont="1" applyFill="1" applyAlignment="1">
      <alignment horizontal="centerContinuous" vertical="center"/>
    </xf>
    <xf numFmtId="0" fontId="0" fillId="13" borderId="0" xfId="0" applyFill="1" applyAlignment="1">
      <alignment vertical="center"/>
    </xf>
    <xf numFmtId="0" fontId="45" fillId="0" borderId="0" xfId="0" applyFont="1" applyAlignment="1">
      <alignment vertical="center"/>
    </xf>
    <xf numFmtId="49" fontId="0" fillId="0" borderId="0" xfId="0" applyNumberFormat="1" applyFill="1" applyAlignment="1">
      <alignment vertical="center"/>
    </xf>
    <xf numFmtId="0" fontId="7" fillId="0" borderId="0" xfId="4" applyFont="1" applyFill="1" applyAlignment="1">
      <alignment vertical="center"/>
    </xf>
    <xf numFmtId="0" fontId="16" fillId="0" borderId="0" xfId="4" applyFill="1" applyAlignment="1">
      <alignment vertical="center"/>
    </xf>
    <xf numFmtId="0" fontId="28" fillId="0" borderId="0" xfId="0" applyFont="1" applyFill="1"/>
    <xf numFmtId="0" fontId="0" fillId="0" borderId="0" xfId="0" applyFill="1" applyBorder="1" applyAlignment="1" applyProtection="1">
      <alignment vertical="center"/>
    </xf>
    <xf numFmtId="0" fontId="0" fillId="0" borderId="0" xfId="0" applyFill="1" applyAlignment="1" applyProtection="1">
      <alignment vertical="center"/>
    </xf>
    <xf numFmtId="0" fontId="0" fillId="0" borderId="20" xfId="0" applyFill="1" applyBorder="1" applyAlignment="1" applyProtection="1">
      <alignment vertical="center"/>
    </xf>
    <xf numFmtId="0" fontId="6" fillId="0" borderId="0" xfId="0" applyFont="1" applyFill="1" applyBorder="1" applyAlignment="1" applyProtection="1">
      <alignment vertical="center"/>
    </xf>
    <xf numFmtId="0" fontId="5" fillId="0" borderId="20" xfId="0" applyFont="1" applyFill="1" applyBorder="1" applyAlignment="1" applyProtection="1">
      <alignment vertical="center"/>
    </xf>
    <xf numFmtId="183" fontId="5" fillId="0" borderId="0" xfId="0" applyNumberFormat="1" applyFont="1" applyFill="1" applyBorder="1" applyAlignment="1">
      <alignment horizontal="center" vertical="center"/>
    </xf>
    <xf numFmtId="183" fontId="5" fillId="0" borderId="0" xfId="0" applyNumberFormat="1" applyFont="1" applyFill="1" applyBorder="1" applyAlignment="1" applyProtection="1">
      <alignment horizontal="center" vertical="center" shrinkToFit="1"/>
    </xf>
    <xf numFmtId="193" fontId="5" fillId="0" borderId="0" xfId="0" applyNumberFormat="1" applyFont="1" applyFill="1" applyBorder="1" applyAlignment="1" applyProtection="1">
      <alignment horizontal="center" vertical="center" shrinkToFit="1"/>
    </xf>
    <xf numFmtId="183" fontId="5" fillId="0" borderId="0" xfId="0" applyNumberFormat="1" applyFont="1" applyFill="1" applyBorder="1" applyAlignment="1" applyProtection="1">
      <alignment horizontal="center" vertical="center"/>
      <protection locked="0"/>
    </xf>
    <xf numFmtId="0" fontId="6" fillId="0" borderId="0" xfId="0" applyFont="1" applyBorder="1" applyAlignment="1">
      <alignment vertical="top" wrapText="1"/>
    </xf>
    <xf numFmtId="0" fontId="6" fillId="0" borderId="0" xfId="0" quotePrefix="1" applyFont="1" applyBorder="1" applyAlignment="1">
      <alignment vertical="top" wrapText="1"/>
    </xf>
    <xf numFmtId="0" fontId="0" fillId="3" borderId="15" xfId="0" applyFill="1" applyBorder="1" applyAlignment="1">
      <alignment horizontal="center"/>
    </xf>
    <xf numFmtId="0" fontId="0" fillId="3" borderId="16" xfId="0" applyFill="1" applyBorder="1" applyAlignment="1">
      <alignment horizontal="center"/>
    </xf>
    <xf numFmtId="0" fontId="0" fillId="3" borderId="41" xfId="0" applyFill="1" applyBorder="1" applyAlignment="1">
      <alignment horizontal="center"/>
    </xf>
    <xf numFmtId="0" fontId="6" fillId="0" borderId="0" xfId="0" applyFont="1" applyBorder="1" applyAlignment="1">
      <alignment horizontal="left" vertical="top" wrapText="1"/>
    </xf>
    <xf numFmtId="0" fontId="0" fillId="0" borderId="0" xfId="0" applyAlignment="1">
      <alignment vertical="top" wrapText="1"/>
    </xf>
    <xf numFmtId="38" fontId="11" fillId="0" borderId="15" xfId="2" applyFont="1" applyFill="1" applyBorder="1" applyAlignment="1">
      <alignment horizontal="center"/>
    </xf>
    <xf numFmtId="38" fontId="11" fillId="0" borderId="41" xfId="2" applyFont="1" applyFill="1" applyBorder="1" applyAlignment="1">
      <alignment horizontal="center"/>
    </xf>
    <xf numFmtId="38" fontId="11" fillId="3" borderId="15" xfId="2" applyFont="1" applyFill="1" applyBorder="1" applyAlignment="1">
      <alignment horizontal="center"/>
    </xf>
    <xf numFmtId="38" fontId="11" fillId="3" borderId="41" xfId="2" applyFont="1" applyFill="1" applyBorder="1" applyAlignment="1">
      <alignment horizontal="center"/>
    </xf>
    <xf numFmtId="38" fontId="11" fillId="0" borderId="22" xfId="2" applyFont="1" applyFill="1" applyBorder="1" applyAlignment="1">
      <alignment horizontal="center" vertical="top"/>
    </xf>
    <xf numFmtId="182" fontId="11" fillId="0" borderId="22" xfId="2" applyNumberFormat="1" applyFont="1" applyFill="1" applyBorder="1" applyAlignment="1">
      <alignment horizontal="center" vertical="top"/>
    </xf>
    <xf numFmtId="38" fontId="11" fillId="3" borderId="15" xfId="2" applyFont="1" applyFill="1" applyBorder="1" applyAlignment="1">
      <alignment horizontal="center" vertical="top"/>
    </xf>
    <xf numFmtId="38" fontId="11" fillId="3" borderId="41" xfId="2" applyFont="1" applyFill="1" applyBorder="1" applyAlignment="1">
      <alignment horizontal="center" vertical="top"/>
    </xf>
    <xf numFmtId="0" fontId="0" fillId="3" borderId="15" xfId="0" applyFill="1" applyBorder="1" applyAlignment="1">
      <alignment vertical="top" wrapText="1"/>
    </xf>
    <xf numFmtId="0" fontId="0" fillId="3" borderId="16" xfId="0" applyFill="1" applyBorder="1" applyAlignment="1">
      <alignment vertical="top" wrapText="1"/>
    </xf>
    <xf numFmtId="0" fontId="0" fillId="3" borderId="41" xfId="0" applyFill="1" applyBorder="1" applyAlignment="1">
      <alignment vertical="top" wrapText="1"/>
    </xf>
    <xf numFmtId="0" fontId="0" fillId="3" borderId="22" xfId="0" applyFill="1" applyBorder="1" applyAlignment="1"/>
    <xf numFmtId="0" fontId="0" fillId="3" borderId="22" xfId="0" applyFill="1" applyBorder="1" applyAlignment="1">
      <alignment horizontal="center"/>
    </xf>
    <xf numFmtId="0" fontId="0" fillId="3" borderId="15" xfId="0" applyFill="1" applyBorder="1" applyAlignment="1"/>
    <xf numFmtId="0" fontId="0" fillId="3" borderId="16" xfId="0" applyFill="1" applyBorder="1" applyAlignment="1"/>
    <xf numFmtId="0" fontId="0" fillId="3" borderId="41" xfId="0" applyFill="1" applyBorder="1" applyAlignment="1"/>
    <xf numFmtId="0" fontId="3" fillId="0" borderId="0" xfId="0" applyFont="1" applyBorder="1" applyAlignment="1">
      <alignment horizontal="left"/>
    </xf>
    <xf numFmtId="0" fontId="0" fillId="0" borderId="0" xfId="0" applyAlignment="1">
      <alignment horizontal="center"/>
    </xf>
    <xf numFmtId="0" fontId="8" fillId="0" borderId="0" xfId="0" applyFont="1" applyAlignment="1">
      <alignment horizontal="center"/>
    </xf>
    <xf numFmtId="0" fontId="0" fillId="3" borderId="0" xfId="0" applyFill="1" applyAlignment="1" applyProtection="1">
      <alignment vertical="top" wrapText="1"/>
      <protection locked="0"/>
    </xf>
    <xf numFmtId="0" fontId="0" fillId="3" borderId="0" xfId="0" applyNumberFormat="1" applyFill="1" applyAlignment="1" applyProtection="1">
      <protection locked="0"/>
    </xf>
    <xf numFmtId="0" fontId="5" fillId="0" borderId="0" xfId="0" applyFont="1" applyAlignment="1">
      <alignment vertical="top" wrapText="1"/>
    </xf>
    <xf numFmtId="0" fontId="3" fillId="0" borderId="0" xfId="0" applyFont="1" applyAlignment="1">
      <alignment horizontal="center" vertical="center"/>
    </xf>
    <xf numFmtId="0" fontId="8" fillId="0" borderId="0" xfId="0" applyFont="1" applyAlignment="1">
      <alignment horizontal="left" shrinkToFit="1"/>
    </xf>
    <xf numFmtId="0" fontId="8" fillId="0" borderId="0" xfId="0" applyFont="1" applyAlignment="1">
      <alignment vertical="center"/>
    </xf>
    <xf numFmtId="0" fontId="15" fillId="0" borderId="0" xfId="0" applyFont="1" applyAlignment="1">
      <alignment horizontal="center"/>
    </xf>
    <xf numFmtId="0" fontId="0" fillId="3" borderId="0" xfId="0" applyFill="1" applyAlignment="1" applyProtection="1">
      <protection locked="0"/>
    </xf>
    <xf numFmtId="0" fontId="41" fillId="12" borderId="51" xfId="0" applyFont="1" applyFill="1" applyBorder="1" applyAlignment="1">
      <alignment horizontal="center" vertical="center"/>
    </xf>
    <xf numFmtId="0" fontId="41" fillId="12" borderId="14" xfId="0" applyFont="1" applyFill="1" applyBorder="1" applyAlignment="1">
      <alignment horizontal="center" vertical="center"/>
    </xf>
    <xf numFmtId="0" fontId="41" fillId="12" borderId="52" xfId="0" applyFont="1" applyFill="1" applyBorder="1" applyAlignment="1">
      <alignment horizontal="center" vertical="center"/>
    </xf>
    <xf numFmtId="0" fontId="41" fillId="12" borderId="31" xfId="0" applyFont="1" applyFill="1" applyBorder="1" applyAlignment="1">
      <alignment horizontal="center" vertical="center"/>
    </xf>
    <xf numFmtId="0" fontId="41" fillId="12" borderId="2" xfId="0" applyFont="1" applyFill="1" applyBorder="1" applyAlignment="1">
      <alignment horizontal="center" vertical="center"/>
    </xf>
    <xf numFmtId="0" fontId="41" fillId="12" borderId="32" xfId="0" applyFont="1" applyFill="1" applyBorder="1" applyAlignment="1">
      <alignment horizontal="center" vertical="center"/>
    </xf>
    <xf numFmtId="0" fontId="0" fillId="0" borderId="17" xfId="0" applyBorder="1" applyAlignment="1">
      <alignment horizontal="left" vertical="center"/>
    </xf>
    <xf numFmtId="0" fontId="0" fillId="0" borderId="29" xfId="0" applyBorder="1" applyAlignment="1">
      <alignment horizontal="left" vertical="center"/>
    </xf>
    <xf numFmtId="0" fontId="0" fillId="0" borderId="37" xfId="0" applyBorder="1" applyAlignment="1">
      <alignment horizontal="left" vertical="center"/>
    </xf>
    <xf numFmtId="0" fontId="0" fillId="3" borderId="46" xfId="0" applyFill="1" applyBorder="1" applyAlignment="1" applyProtection="1">
      <alignment vertical="center"/>
      <protection locked="0"/>
    </xf>
    <xf numFmtId="0" fontId="0" fillId="3" borderId="47" xfId="0" applyFill="1" applyBorder="1" applyAlignment="1" applyProtection="1">
      <alignment vertical="center"/>
      <protection locked="0"/>
    </xf>
    <xf numFmtId="0" fontId="19" fillId="0" borderId="21" xfId="0" applyFont="1" applyFill="1" applyBorder="1" applyAlignment="1">
      <alignment horizontal="center" vertical="center" shrinkToFit="1"/>
    </xf>
    <xf numFmtId="0" fontId="19" fillId="0" borderId="0" xfId="0" applyFont="1" applyFill="1" applyBorder="1" applyAlignment="1">
      <alignment horizontal="center" vertical="center" shrinkToFit="1"/>
    </xf>
    <xf numFmtId="0" fontId="19" fillId="0" borderId="30" xfId="0" applyFont="1" applyFill="1" applyBorder="1" applyAlignment="1">
      <alignment horizontal="center" vertical="center" shrinkToFit="1"/>
    </xf>
    <xf numFmtId="0" fontId="19" fillId="0" borderId="31" xfId="0" applyFont="1" applyFill="1" applyBorder="1" applyAlignment="1">
      <alignment horizontal="center" vertical="center" shrinkToFit="1"/>
    </xf>
    <xf numFmtId="0" fontId="19" fillId="0" borderId="2" xfId="0" applyFont="1" applyFill="1" applyBorder="1" applyAlignment="1">
      <alignment horizontal="center" vertical="center" shrinkToFit="1"/>
    </xf>
    <xf numFmtId="0" fontId="19" fillId="0" borderId="32" xfId="0" applyFont="1" applyFill="1" applyBorder="1" applyAlignment="1">
      <alignment horizontal="center" vertical="center" shrinkToFit="1"/>
    </xf>
    <xf numFmtId="0" fontId="0" fillId="3" borderId="13" xfId="0" applyFill="1" applyBorder="1" applyAlignment="1" applyProtection="1">
      <alignment horizontal="left" vertical="center"/>
      <protection locked="0"/>
    </xf>
    <xf numFmtId="0" fontId="0" fillId="3" borderId="35" xfId="0" applyFill="1" applyBorder="1" applyAlignment="1" applyProtection="1">
      <alignment horizontal="left" vertical="center"/>
      <protection locked="0"/>
    </xf>
    <xf numFmtId="0" fontId="0" fillId="3" borderId="2" xfId="0" applyFill="1" applyBorder="1" applyAlignment="1" applyProtection="1">
      <alignment vertical="center"/>
      <protection locked="0"/>
    </xf>
    <xf numFmtId="0" fontId="19" fillId="0" borderId="51" xfId="0" applyFont="1" applyFill="1" applyBorder="1" applyAlignment="1" applyProtection="1">
      <alignment vertical="top" wrapText="1" shrinkToFit="1"/>
      <protection locked="0"/>
    </xf>
    <xf numFmtId="0" fontId="19" fillId="0" borderId="14" xfId="0" applyFont="1" applyFill="1" applyBorder="1" applyAlignment="1" applyProtection="1">
      <alignment vertical="top" shrinkToFit="1"/>
      <protection locked="0"/>
    </xf>
    <xf numFmtId="0" fontId="19" fillId="0" borderId="52" xfId="0" applyFont="1" applyFill="1" applyBorder="1" applyAlignment="1" applyProtection="1">
      <alignment vertical="top" shrinkToFit="1"/>
      <protection locked="0"/>
    </xf>
    <xf numFmtId="0" fontId="19" fillId="0" borderId="21" xfId="0" applyFont="1" applyFill="1" applyBorder="1" applyAlignment="1" applyProtection="1">
      <alignment vertical="top" shrinkToFit="1"/>
      <protection locked="0"/>
    </xf>
    <xf numFmtId="0" fontId="19" fillId="0" borderId="0" xfId="0" applyFont="1" applyFill="1" applyBorder="1" applyAlignment="1" applyProtection="1">
      <alignment vertical="top" shrinkToFit="1"/>
      <protection locked="0"/>
    </xf>
    <xf numFmtId="0" fontId="19" fillId="0" borderId="30" xfId="0" applyFont="1" applyFill="1" applyBorder="1" applyAlignment="1" applyProtection="1">
      <alignment vertical="top" shrinkToFit="1"/>
      <protection locked="0"/>
    </xf>
    <xf numFmtId="0" fontId="19" fillId="0" borderId="31" xfId="0" applyFont="1" applyFill="1" applyBorder="1" applyAlignment="1" applyProtection="1">
      <alignment vertical="top" shrinkToFit="1"/>
      <protection locked="0"/>
    </xf>
    <xf numFmtId="0" fontId="19" fillId="0" borderId="2" xfId="0" applyFont="1" applyFill="1" applyBorder="1" applyAlignment="1" applyProtection="1">
      <alignment vertical="top" shrinkToFit="1"/>
      <protection locked="0"/>
    </xf>
    <xf numFmtId="0" fontId="19" fillId="0" borderId="32" xfId="0" applyFont="1" applyFill="1" applyBorder="1" applyAlignment="1" applyProtection="1">
      <alignment vertical="top" shrinkToFit="1"/>
      <protection locked="0"/>
    </xf>
    <xf numFmtId="0" fontId="19" fillId="0" borderId="1" xfId="0" applyFont="1" applyFill="1" applyBorder="1" applyAlignment="1" applyProtection="1">
      <alignment horizontal="center" vertical="center" shrinkToFit="1"/>
      <protection locked="0"/>
    </xf>
    <xf numFmtId="7" fontId="19" fillId="0" borderId="1" xfId="0" applyNumberFormat="1" applyFont="1" applyFill="1" applyBorder="1" applyAlignment="1" applyProtection="1">
      <alignment horizontal="center" vertical="center" shrinkToFit="1"/>
      <protection locked="0"/>
    </xf>
    <xf numFmtId="0" fontId="19" fillId="0" borderId="17" xfId="0" applyFont="1" applyFill="1" applyBorder="1" applyAlignment="1">
      <alignment vertical="center" shrinkToFit="1"/>
    </xf>
    <xf numFmtId="0" fontId="19" fillId="0" borderId="29" xfId="0" applyFont="1" applyFill="1" applyBorder="1" applyAlignment="1">
      <alignment vertical="center" shrinkToFit="1"/>
    </xf>
    <xf numFmtId="0" fontId="19" fillId="0" borderId="37" xfId="0" applyFont="1" applyFill="1" applyBorder="1" applyAlignment="1">
      <alignment vertical="center" shrinkToFit="1"/>
    </xf>
    <xf numFmtId="0" fontId="5" fillId="0" borderId="17" xfId="4" applyFont="1" applyFill="1" applyBorder="1" applyAlignment="1" applyProtection="1">
      <alignment vertical="center" wrapText="1"/>
      <protection locked="0"/>
    </xf>
    <xf numFmtId="0" fontId="5" fillId="0" borderId="29" xfId="0" applyFont="1" applyFill="1" applyBorder="1" applyAlignment="1" applyProtection="1">
      <alignment vertical="center"/>
      <protection locked="0"/>
    </xf>
    <xf numFmtId="0" fontId="5" fillId="0" borderId="37" xfId="0" applyFont="1" applyFill="1" applyBorder="1" applyAlignment="1" applyProtection="1">
      <alignment vertical="center"/>
      <protection locked="0"/>
    </xf>
    <xf numFmtId="0" fontId="0" fillId="0" borderId="15" xfId="0" applyBorder="1" applyAlignment="1">
      <alignment vertical="center"/>
    </xf>
    <xf numFmtId="0" fontId="0" fillId="0" borderId="16" xfId="0" applyBorder="1" applyAlignment="1">
      <alignment vertical="center"/>
    </xf>
    <xf numFmtId="0" fontId="0" fillId="0" borderId="41" xfId="0" applyBorder="1" applyAlignment="1">
      <alignment vertical="center"/>
    </xf>
    <xf numFmtId="0" fontId="11" fillId="0" borderId="1" xfId="1" applyNumberFormat="1" applyFont="1" applyFill="1" applyBorder="1" applyAlignment="1" applyProtection="1">
      <alignment vertical="center" shrinkToFit="1"/>
      <protection locked="0"/>
    </xf>
    <xf numFmtId="0" fontId="11" fillId="0" borderId="53" xfId="1" applyNumberFormat="1" applyFont="1" applyFill="1" applyBorder="1" applyAlignment="1" applyProtection="1">
      <alignment vertical="center" shrinkToFit="1"/>
      <protection locked="0"/>
    </xf>
    <xf numFmtId="14" fontId="0" fillId="3" borderId="0" xfId="0" applyNumberFormat="1" applyFill="1" applyBorder="1" applyAlignment="1" applyProtection="1">
      <alignment horizontal="distributed" vertical="center"/>
      <protection locked="0"/>
    </xf>
    <xf numFmtId="0" fontId="0" fillId="3" borderId="0" xfId="0" applyFill="1" applyAlignment="1" applyProtection="1">
      <alignment horizontal="distributed" vertical="center"/>
      <protection locked="0"/>
    </xf>
    <xf numFmtId="0" fontId="19" fillId="0" borderId="1" xfId="0" applyFont="1" applyFill="1" applyBorder="1" applyAlignment="1">
      <alignment horizontal="center" vertical="center" shrinkToFit="1"/>
    </xf>
    <xf numFmtId="0" fontId="19" fillId="0" borderId="31" xfId="0" applyFont="1" applyFill="1" applyBorder="1" applyAlignment="1">
      <alignment vertical="center" shrinkToFit="1"/>
    </xf>
    <xf numFmtId="0" fontId="19" fillId="0" borderId="2" xfId="0" applyFont="1" applyFill="1" applyBorder="1" applyAlignment="1">
      <alignment vertical="center" shrinkToFit="1"/>
    </xf>
    <xf numFmtId="0" fontId="19" fillId="0" borderId="32" xfId="0" applyFont="1" applyFill="1" applyBorder="1" applyAlignment="1">
      <alignment vertical="center" shrinkToFit="1"/>
    </xf>
    <xf numFmtId="0" fontId="11" fillId="0" borderId="1" xfId="1" applyNumberFormat="1" applyFont="1" applyFill="1" applyBorder="1" applyAlignment="1" applyProtection="1">
      <alignment horizontal="center" vertical="center" shrinkToFit="1"/>
      <protection locked="0"/>
    </xf>
    <xf numFmtId="0" fontId="11" fillId="0" borderId="17" xfId="1" applyNumberFormat="1" applyFont="1" applyFill="1" applyBorder="1" applyAlignment="1" applyProtection="1">
      <alignment horizontal="center" vertical="center" shrinkToFit="1"/>
      <protection locked="0"/>
    </xf>
    <xf numFmtId="0" fontId="11" fillId="0" borderId="29" xfId="1" applyNumberFormat="1" applyFont="1" applyFill="1" applyBorder="1" applyAlignment="1" applyProtection="1">
      <alignment horizontal="center" vertical="center" shrinkToFit="1"/>
      <protection locked="0"/>
    </xf>
    <xf numFmtId="0" fontId="11" fillId="0" borderId="37" xfId="1" applyNumberFormat="1" applyFont="1" applyFill="1" applyBorder="1" applyAlignment="1" applyProtection="1">
      <alignment horizontal="center" vertical="center" shrinkToFit="1"/>
      <protection locked="0"/>
    </xf>
    <xf numFmtId="0" fontId="5" fillId="0" borderId="17" xfId="4" applyFont="1" applyFill="1" applyBorder="1" applyAlignment="1">
      <alignment horizontal="left" vertical="center"/>
    </xf>
    <xf numFmtId="0" fontId="5" fillId="0" borderId="29" xfId="0" applyFont="1" applyFill="1" applyBorder="1" applyAlignment="1">
      <alignment vertical="center"/>
    </xf>
    <xf numFmtId="0" fontId="5" fillId="0" borderId="37" xfId="0" applyFont="1" applyFill="1" applyBorder="1" applyAlignment="1">
      <alignment vertical="center"/>
    </xf>
    <xf numFmtId="0" fontId="5" fillId="0" borderId="17" xfId="4" applyFont="1" applyFill="1" applyBorder="1" applyAlignment="1">
      <alignment vertical="center"/>
    </xf>
    <xf numFmtId="0" fontId="5" fillId="0" borderId="17" xfId="4" applyFont="1" applyFill="1" applyBorder="1" applyAlignment="1" applyProtection="1">
      <alignment vertical="center" shrinkToFit="1"/>
      <protection locked="0"/>
    </xf>
    <xf numFmtId="0" fontId="5" fillId="0" borderId="29" xfId="0" applyFont="1" applyFill="1" applyBorder="1" applyAlignment="1" applyProtection="1">
      <alignment vertical="center" shrinkToFit="1"/>
      <protection locked="0"/>
    </xf>
    <xf numFmtId="2" fontId="39" fillId="0" borderId="0" xfId="0" applyNumberFormat="1" applyFont="1" applyFill="1" applyBorder="1" applyAlignment="1" applyProtection="1">
      <alignment vertical="center"/>
    </xf>
    <xf numFmtId="1" fontId="39" fillId="0" borderId="0" xfId="0" applyNumberFormat="1" applyFont="1" applyFill="1" applyBorder="1" applyAlignment="1" applyProtection="1">
      <alignment horizontal="right" vertical="center"/>
    </xf>
    <xf numFmtId="0" fontId="20" fillId="0" borderId="1" xfId="0" applyFont="1" applyFill="1" applyBorder="1" applyAlignment="1">
      <alignment horizontal="center" vertical="center" shrinkToFit="1"/>
    </xf>
    <xf numFmtId="0" fontId="0" fillId="0" borderId="25" xfId="0" applyFill="1" applyBorder="1" applyAlignment="1" applyProtection="1">
      <alignment vertical="center"/>
    </xf>
    <xf numFmtId="0" fontId="0" fillId="0" borderId="26" xfId="0" applyFill="1" applyBorder="1" applyAlignment="1" applyProtection="1">
      <alignment vertical="center"/>
    </xf>
    <xf numFmtId="0" fontId="5" fillId="0" borderId="17" xfId="0" applyFont="1" applyFill="1" applyBorder="1" applyAlignment="1">
      <alignment vertical="center"/>
    </xf>
    <xf numFmtId="0" fontId="0" fillId="0" borderId="29" xfId="0" applyFill="1" applyBorder="1" applyAlignment="1">
      <alignment vertical="center"/>
    </xf>
    <xf numFmtId="0" fontId="0" fillId="0" borderId="37" xfId="0" applyFill="1" applyBorder="1" applyAlignment="1">
      <alignment vertical="center"/>
    </xf>
    <xf numFmtId="0" fontId="5" fillId="0" borderId="17" xfId="0" applyFont="1" applyFill="1" applyBorder="1" applyAlignment="1" applyProtection="1">
      <alignment vertical="center" shrinkToFit="1"/>
      <protection locked="0"/>
    </xf>
    <xf numFmtId="0" fontId="5" fillId="0" borderId="37" xfId="0" applyFont="1" applyFill="1" applyBorder="1" applyAlignment="1" applyProtection="1">
      <alignment vertical="center" shrinkToFit="1"/>
      <protection locked="0"/>
    </xf>
    <xf numFmtId="0" fontId="5" fillId="0" borderId="17" xfId="0" applyFont="1" applyFill="1" applyBorder="1" applyAlignment="1" applyProtection="1">
      <alignment vertical="center"/>
      <protection locked="0"/>
    </xf>
    <xf numFmtId="5" fontId="5" fillId="0" borderId="17" xfId="0" applyNumberFormat="1" applyFont="1" applyFill="1" applyBorder="1" applyAlignment="1" applyProtection="1">
      <alignment horizontal="left" vertical="center"/>
      <protection locked="0"/>
    </xf>
    <xf numFmtId="5" fontId="0" fillId="0" borderId="29" xfId="0" applyNumberFormat="1" applyFill="1" applyBorder="1" applyAlignment="1" applyProtection="1">
      <alignment horizontal="left" vertical="center"/>
      <protection locked="0"/>
    </xf>
    <xf numFmtId="5" fontId="0" fillId="0" borderId="37" xfId="0" applyNumberFormat="1" applyFill="1" applyBorder="1" applyAlignment="1" applyProtection="1">
      <alignment horizontal="left" vertical="center"/>
      <protection locked="0"/>
    </xf>
    <xf numFmtId="0" fontId="5" fillId="0" borderId="51" xfId="4" applyFont="1" applyFill="1" applyBorder="1" applyAlignment="1">
      <alignment horizontal="left" vertical="center"/>
    </xf>
    <xf numFmtId="0" fontId="5" fillId="0" borderId="14" xfId="0" applyFont="1" applyFill="1" applyBorder="1" applyAlignment="1">
      <alignment vertical="center"/>
    </xf>
    <xf numFmtId="0" fontId="5" fillId="0" borderId="52" xfId="0" applyFont="1" applyFill="1" applyBorder="1" applyAlignment="1">
      <alignment vertical="center"/>
    </xf>
    <xf numFmtId="0" fontId="5" fillId="0" borderId="21" xfId="0" applyFont="1" applyFill="1" applyBorder="1" applyAlignment="1">
      <alignment vertical="center"/>
    </xf>
    <xf numFmtId="0" fontId="5" fillId="0" borderId="0" xfId="0" applyFont="1" applyFill="1" applyAlignment="1">
      <alignment vertical="center"/>
    </xf>
    <xf numFmtId="0" fontId="5" fillId="0" borderId="30" xfId="0" applyFont="1" applyFill="1" applyBorder="1" applyAlignment="1">
      <alignment vertical="center"/>
    </xf>
    <xf numFmtId="0" fontId="5" fillId="0" borderId="31" xfId="0" applyFont="1" applyFill="1" applyBorder="1" applyAlignment="1">
      <alignment vertical="center"/>
    </xf>
    <xf numFmtId="0" fontId="5" fillId="0" borderId="2" xfId="0" applyFont="1" applyFill="1" applyBorder="1" applyAlignment="1">
      <alignment vertical="center"/>
    </xf>
    <xf numFmtId="0" fontId="5" fillId="0" borderId="32" xfId="0" applyFont="1" applyFill="1" applyBorder="1" applyAlignment="1">
      <alignment vertical="center"/>
    </xf>
    <xf numFmtId="56" fontId="5" fillId="0" borderId="17" xfId="4" applyNumberFormat="1" applyFont="1" applyFill="1" applyBorder="1" applyAlignment="1" applyProtection="1">
      <alignment vertical="center" wrapText="1"/>
      <protection locked="0"/>
    </xf>
    <xf numFmtId="14" fontId="0" fillId="3" borderId="0" xfId="0" applyNumberFormat="1" applyFill="1" applyAlignment="1" applyProtection="1">
      <alignment horizontal="distributed" vertical="center"/>
      <protection locked="0"/>
    </xf>
    <xf numFmtId="0" fontId="0" fillId="4" borderId="17" xfId="0" applyFill="1" applyBorder="1" applyAlignment="1" applyProtection="1">
      <alignment horizontal="center" vertical="center"/>
      <protection locked="0"/>
    </xf>
    <xf numFmtId="0" fontId="0" fillId="4" borderId="29" xfId="0" applyFill="1" applyBorder="1" applyAlignment="1" applyProtection="1">
      <alignment horizontal="center" vertical="center"/>
      <protection locked="0"/>
    </xf>
    <xf numFmtId="0" fontId="0" fillId="4" borderId="39" xfId="0" applyFill="1" applyBorder="1" applyAlignment="1" applyProtection="1">
      <alignment horizontal="center" vertical="center"/>
      <protection locked="0"/>
    </xf>
    <xf numFmtId="38" fontId="41" fillId="0" borderId="15" xfId="0" applyNumberFormat="1" applyFont="1" applyFill="1" applyBorder="1" applyAlignment="1">
      <alignment horizontal="right" vertical="center"/>
    </xf>
    <xf numFmtId="38" fontId="41" fillId="0" borderId="16" xfId="0" applyNumberFormat="1" applyFont="1" applyFill="1" applyBorder="1" applyAlignment="1">
      <alignment horizontal="right" vertical="center"/>
    </xf>
    <xf numFmtId="38" fontId="41" fillId="0" borderId="41" xfId="0" applyNumberFormat="1" applyFont="1" applyFill="1" applyBorder="1" applyAlignment="1">
      <alignment horizontal="right" vertical="center"/>
    </xf>
    <xf numFmtId="4" fontId="11" fillId="0" borderId="0" xfId="2" applyNumberFormat="1" applyFont="1" applyFill="1" applyBorder="1" applyAlignment="1">
      <alignment horizontal="right" vertical="center" shrinkToFit="1"/>
    </xf>
    <xf numFmtId="4" fontId="11" fillId="0" borderId="18" xfId="2" applyNumberFormat="1" applyFont="1" applyFill="1" applyBorder="1" applyAlignment="1">
      <alignment horizontal="right" vertical="center" shrinkToFit="1"/>
    </xf>
    <xf numFmtId="38" fontId="38" fillId="0" borderId="0" xfId="2" applyFont="1" applyFill="1" applyBorder="1" applyAlignment="1">
      <alignment horizontal="right" vertical="center" shrinkToFit="1"/>
    </xf>
    <xf numFmtId="38" fontId="38" fillId="0" borderId="18" xfId="2" applyFont="1" applyFill="1" applyBorder="1" applyAlignment="1">
      <alignment horizontal="right" vertical="center" shrinkToFit="1"/>
    </xf>
    <xf numFmtId="49" fontId="0" fillId="0" borderId="0" xfId="0" applyNumberFormat="1" applyAlignment="1">
      <alignment vertical="center"/>
    </xf>
    <xf numFmtId="0" fontId="0" fillId="0" borderId="0" xfId="0" applyFill="1" applyBorder="1" applyAlignment="1" applyProtection="1">
      <alignment vertical="center"/>
    </xf>
    <xf numFmtId="0" fontId="0" fillId="0" borderId="18" xfId="0" applyFill="1" applyBorder="1" applyAlignment="1" applyProtection="1">
      <alignment vertical="center"/>
    </xf>
    <xf numFmtId="31" fontId="5" fillId="0" borderId="17" xfId="4" applyNumberFormat="1" applyFont="1" applyFill="1" applyBorder="1" applyAlignment="1" applyProtection="1">
      <alignment horizontal="left" vertical="center"/>
      <protection locked="0"/>
    </xf>
    <xf numFmtId="31" fontId="5" fillId="0" borderId="29" xfId="0" applyNumberFormat="1" applyFont="1" applyFill="1" applyBorder="1" applyAlignment="1" applyProtection="1">
      <alignment horizontal="left" vertical="center"/>
      <protection locked="0"/>
    </xf>
    <xf numFmtId="31" fontId="5" fillId="0" borderId="37" xfId="0" applyNumberFormat="1" applyFont="1" applyFill="1" applyBorder="1" applyAlignment="1" applyProtection="1">
      <alignment horizontal="left" vertical="center"/>
      <protection locked="0"/>
    </xf>
    <xf numFmtId="3" fontId="41" fillId="4" borderId="15" xfId="0" applyNumberFormat="1" applyFont="1" applyFill="1" applyBorder="1" applyAlignment="1" applyProtection="1">
      <alignment vertical="center"/>
      <protection locked="0"/>
    </xf>
    <xf numFmtId="3" fontId="41" fillId="4" borderId="16" xfId="0" applyNumberFormat="1" applyFont="1" applyFill="1" applyBorder="1" applyAlignment="1" applyProtection="1">
      <alignment vertical="center"/>
      <protection locked="0"/>
    </xf>
    <xf numFmtId="3" fontId="41" fillId="4" borderId="41" xfId="0" applyNumberFormat="1" applyFont="1" applyFill="1" applyBorder="1" applyAlignment="1" applyProtection="1">
      <alignment vertical="center"/>
      <protection locked="0"/>
    </xf>
    <xf numFmtId="3" fontId="41" fillId="0" borderId="15" xfId="0" applyNumberFormat="1" applyFont="1" applyFill="1" applyBorder="1" applyAlignment="1">
      <alignment vertical="center"/>
    </xf>
    <xf numFmtId="3" fontId="41" fillId="0" borderId="16" xfId="0" applyNumberFormat="1" applyFont="1" applyFill="1" applyBorder="1" applyAlignment="1">
      <alignment vertical="center"/>
    </xf>
    <xf numFmtId="3" fontId="41" fillId="0" borderId="41" xfId="0" applyNumberFormat="1" applyFont="1" applyFill="1" applyBorder="1" applyAlignment="1">
      <alignment vertical="center"/>
    </xf>
    <xf numFmtId="0" fontId="0" fillId="3" borderId="0" xfId="0" applyFill="1" applyBorder="1" applyAlignment="1" applyProtection="1">
      <alignment vertical="center"/>
      <protection locked="0"/>
    </xf>
    <xf numFmtId="0" fontId="0" fillId="0" borderId="20" xfId="0" applyBorder="1" applyAlignment="1" applyProtection="1">
      <alignment horizontal="center" vertical="center"/>
    </xf>
    <xf numFmtId="0" fontId="0" fillId="0" borderId="0" xfId="0"/>
    <xf numFmtId="0" fontId="5" fillId="0" borderId="0" xfId="0" applyFont="1" applyFill="1" applyBorder="1" applyAlignment="1" applyProtection="1">
      <alignment horizontal="center" vertical="center"/>
    </xf>
    <xf numFmtId="0" fontId="5" fillId="0" borderId="0" xfId="0" applyFont="1" applyFill="1" applyBorder="1" applyAlignment="1" applyProtection="1">
      <alignment vertical="center"/>
    </xf>
    <xf numFmtId="196" fontId="0" fillId="4" borderId="17" xfId="0" applyNumberFormat="1" applyFill="1" applyBorder="1" applyAlignment="1" applyProtection="1">
      <alignment horizontal="right" vertical="center"/>
      <protection locked="0"/>
    </xf>
    <xf numFmtId="196" fontId="0" fillId="4" borderId="37" xfId="0" applyNumberFormat="1" applyFill="1" applyBorder="1" applyAlignment="1" applyProtection="1">
      <alignment horizontal="right" vertical="center"/>
      <protection locked="0"/>
    </xf>
    <xf numFmtId="183" fontId="0" fillId="3" borderId="0" xfId="0" applyNumberFormat="1" applyFill="1" applyBorder="1" applyAlignment="1" applyProtection="1">
      <alignment horizontal="left" vertical="center"/>
      <protection locked="0"/>
    </xf>
    <xf numFmtId="0" fontId="0" fillId="0" borderId="54" xfId="0" applyBorder="1" applyAlignment="1">
      <alignment horizontal="left" vertical="center"/>
    </xf>
    <xf numFmtId="0" fontId="0" fillId="0" borderId="2" xfId="0" applyBorder="1" applyAlignment="1">
      <alignment horizontal="left" vertical="center"/>
    </xf>
    <xf numFmtId="0" fontId="0" fillId="0" borderId="32" xfId="0" applyBorder="1" applyAlignment="1">
      <alignment horizontal="left" vertical="center"/>
    </xf>
    <xf numFmtId="49" fontId="0" fillId="11" borderId="17" xfId="0" applyNumberFormat="1" applyFill="1" applyBorder="1" applyAlignment="1" applyProtection="1">
      <alignment vertical="center"/>
      <protection locked="0"/>
    </xf>
    <xf numFmtId="49" fontId="0" fillId="11" borderId="29" xfId="0" applyNumberFormat="1" applyFill="1" applyBorder="1" applyAlignment="1" applyProtection="1">
      <alignment vertical="center"/>
      <protection locked="0"/>
    </xf>
    <xf numFmtId="49" fontId="0" fillId="11" borderId="39" xfId="0" applyNumberFormat="1" applyFill="1" applyBorder="1" applyAlignment="1" applyProtection="1">
      <alignment vertical="center"/>
      <protection locked="0"/>
    </xf>
    <xf numFmtId="0" fontId="0" fillId="0" borderId="51" xfId="0" applyBorder="1" applyAlignment="1">
      <alignment vertical="center"/>
    </xf>
    <xf numFmtId="0" fontId="0" fillId="0" borderId="14" xfId="0" applyBorder="1" applyAlignment="1">
      <alignment vertical="center"/>
    </xf>
    <xf numFmtId="0" fontId="0" fillId="0" borderId="31" xfId="0" applyBorder="1" applyAlignment="1">
      <alignment vertical="center"/>
    </xf>
    <xf numFmtId="0" fontId="0" fillId="0" borderId="2" xfId="0" applyBorder="1" applyAlignment="1">
      <alignment vertical="center"/>
    </xf>
    <xf numFmtId="0" fontId="0" fillId="0" borderId="0" xfId="0" applyBorder="1" applyAlignment="1" applyProtection="1">
      <alignment horizontal="center" vertical="center"/>
    </xf>
    <xf numFmtId="0" fontId="0" fillId="0" borderId="45" xfId="0" applyBorder="1" applyAlignment="1">
      <alignment vertical="center"/>
    </xf>
    <xf numFmtId="0" fontId="0" fillId="0" borderId="29" xfId="0" applyBorder="1" applyAlignment="1">
      <alignment vertical="center"/>
    </xf>
    <xf numFmtId="0" fontId="0" fillId="0" borderId="37" xfId="0" applyBorder="1" applyAlignment="1">
      <alignment vertical="center"/>
    </xf>
    <xf numFmtId="0" fontId="0" fillId="0" borderId="45" xfId="0" applyFont="1" applyBorder="1" applyAlignment="1">
      <alignment vertical="center" shrinkToFit="1"/>
    </xf>
    <xf numFmtId="0" fontId="0" fillId="0" borderId="29" xfId="0" applyFont="1" applyBorder="1" applyAlignment="1">
      <alignment vertical="center" shrinkToFit="1"/>
    </xf>
    <xf numFmtId="0" fontId="0" fillId="0" borderId="37" xfId="0" applyFont="1" applyBorder="1" applyAlignment="1">
      <alignment vertical="center" shrinkToFit="1"/>
    </xf>
    <xf numFmtId="0" fontId="0" fillId="0" borderId="45" xfId="0" applyBorder="1" applyAlignment="1">
      <alignment horizontal="left" vertical="center"/>
    </xf>
    <xf numFmtId="0" fontId="42" fillId="3" borderId="17" xfId="0" applyNumberFormat="1" applyFont="1" applyFill="1" applyBorder="1" applyAlignment="1" applyProtection="1">
      <alignment vertical="center"/>
      <protection locked="0"/>
    </xf>
    <xf numFmtId="0" fontId="42" fillId="3" borderId="29" xfId="0" applyNumberFormat="1" applyFont="1" applyFill="1" applyBorder="1" applyAlignment="1" applyProtection="1">
      <alignment vertical="center"/>
      <protection locked="0"/>
    </xf>
    <xf numFmtId="0" fontId="42" fillId="3" borderId="39" xfId="0" applyNumberFormat="1" applyFont="1" applyFill="1" applyBorder="1" applyAlignment="1" applyProtection="1">
      <alignment vertical="center"/>
      <protection locked="0"/>
    </xf>
    <xf numFmtId="0" fontId="0" fillId="4" borderId="1" xfId="0" applyFill="1" applyBorder="1" applyAlignment="1">
      <alignment horizontal="center" vertical="center"/>
    </xf>
    <xf numFmtId="3" fontId="13" fillId="3" borderId="43" xfId="0" applyNumberFormat="1" applyFont="1" applyFill="1" applyBorder="1" applyAlignment="1" applyProtection="1">
      <alignment horizontal="center" vertical="center"/>
      <protection locked="0"/>
    </xf>
    <xf numFmtId="3" fontId="13" fillId="3" borderId="29" xfId="0" applyNumberFormat="1" applyFont="1" applyFill="1" applyBorder="1" applyAlignment="1" applyProtection="1">
      <alignment horizontal="center" vertical="center"/>
      <protection locked="0"/>
    </xf>
    <xf numFmtId="0" fontId="0" fillId="0" borderId="26" xfId="0" applyBorder="1" applyAlignment="1">
      <alignment horizontal="center" vertical="center"/>
    </xf>
    <xf numFmtId="0" fontId="0" fillId="0" borderId="27" xfId="0" applyBorder="1" applyAlignment="1">
      <alignment horizontal="center" vertical="center"/>
    </xf>
    <xf numFmtId="3" fontId="7" fillId="0" borderId="17" xfId="0" applyNumberFormat="1" applyFont="1" applyFill="1" applyBorder="1" applyAlignment="1" applyProtection="1">
      <alignment vertical="center"/>
      <protection locked="0"/>
    </xf>
    <xf numFmtId="3" fontId="7" fillId="0" borderId="29" xfId="0" applyNumberFormat="1" applyFont="1" applyFill="1" applyBorder="1" applyAlignment="1" applyProtection="1">
      <alignment vertical="center"/>
      <protection locked="0"/>
    </xf>
    <xf numFmtId="3" fontId="7" fillId="0" borderId="59" xfId="0" applyNumberFormat="1" applyFont="1" applyFill="1" applyBorder="1" applyAlignment="1" applyProtection="1">
      <alignment vertical="center"/>
      <protection locked="0"/>
    </xf>
    <xf numFmtId="3" fontId="7" fillId="0" borderId="43" xfId="0" applyNumberFormat="1" applyFont="1" applyFill="1" applyBorder="1" applyAlignment="1" applyProtection="1">
      <alignment vertical="center"/>
      <protection locked="0"/>
    </xf>
    <xf numFmtId="0" fontId="0" fillId="0" borderId="20" xfId="0" applyBorder="1" applyAlignment="1">
      <alignment horizontal="left" vertical="center"/>
    </xf>
    <xf numFmtId="0" fontId="0" fillId="0" borderId="0" xfId="0" applyBorder="1" applyAlignment="1">
      <alignment horizontal="left" vertical="center"/>
    </xf>
    <xf numFmtId="2" fontId="0" fillId="3" borderId="26" xfId="0" applyNumberFormat="1" applyFill="1" applyBorder="1" applyAlignment="1" applyProtection="1">
      <alignment horizontal="center" vertical="center"/>
      <protection locked="0"/>
    </xf>
    <xf numFmtId="2" fontId="0" fillId="3" borderId="60" xfId="0" applyNumberFormat="1" applyFill="1" applyBorder="1" applyAlignment="1" applyProtection="1">
      <alignment horizontal="center" vertical="center"/>
      <protection locked="0"/>
    </xf>
    <xf numFmtId="0" fontId="0" fillId="3" borderId="43" xfId="0" applyFill="1" applyBorder="1"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7" fillId="0" borderId="25" xfId="0" applyFont="1" applyBorder="1" applyAlignment="1">
      <alignment horizontal="left" vertical="center"/>
    </xf>
    <xf numFmtId="0" fontId="7" fillId="0" borderId="26" xfId="0" applyFont="1" applyBorder="1" applyAlignment="1">
      <alignment horizontal="left" vertical="center"/>
    </xf>
    <xf numFmtId="31" fontId="0" fillId="11" borderId="17" xfId="0" applyNumberFormat="1" applyFill="1" applyBorder="1" applyAlignment="1" applyProtection="1">
      <alignment horizontal="left" vertical="center"/>
      <protection locked="0"/>
    </xf>
    <xf numFmtId="31" fontId="0" fillId="11" borderId="29" xfId="0" applyNumberFormat="1" applyFill="1" applyBorder="1" applyAlignment="1" applyProtection="1">
      <alignment horizontal="left" vertical="center"/>
      <protection locked="0"/>
    </xf>
    <xf numFmtId="31" fontId="0" fillId="11" borderId="37" xfId="0" applyNumberFormat="1" applyFill="1" applyBorder="1" applyAlignment="1" applyProtection="1">
      <alignment horizontal="left" vertical="center"/>
      <protection locked="0"/>
    </xf>
    <xf numFmtId="0" fontId="40" fillId="3" borderId="59" xfId="0" applyFont="1" applyFill="1" applyBorder="1" applyAlignment="1" applyProtection="1">
      <alignment vertical="center"/>
      <protection locked="0"/>
    </xf>
    <xf numFmtId="0" fontId="40" fillId="3" borderId="43" xfId="0" applyFont="1" applyFill="1" applyBorder="1" applyAlignment="1" applyProtection="1">
      <alignment vertical="center"/>
      <protection locked="0"/>
    </xf>
    <xf numFmtId="0" fontId="40" fillId="3" borderId="58" xfId="0" applyFont="1" applyFill="1" applyBorder="1" applyAlignment="1" applyProtection="1">
      <alignment vertical="center"/>
      <protection locked="0"/>
    </xf>
    <xf numFmtId="0" fontId="0" fillId="11" borderId="51" xfId="0" applyFill="1" applyBorder="1" applyAlignment="1" applyProtection="1">
      <alignment vertical="center"/>
      <protection locked="0"/>
    </xf>
    <xf numFmtId="0" fontId="1" fillId="11" borderId="14" xfId="0" applyFont="1" applyFill="1" applyBorder="1" applyAlignment="1" applyProtection="1">
      <alignment vertical="center"/>
      <protection locked="0"/>
    </xf>
    <xf numFmtId="0" fontId="1" fillId="11" borderId="52" xfId="0" applyFont="1" applyFill="1" applyBorder="1" applyAlignment="1" applyProtection="1">
      <alignment vertical="center"/>
      <protection locked="0"/>
    </xf>
    <xf numFmtId="0" fontId="29" fillId="0" borderId="0" xfId="0" applyFont="1" applyFill="1" applyBorder="1" applyAlignment="1" applyProtection="1">
      <alignment horizontal="center" vertical="center"/>
      <protection locked="0"/>
    </xf>
    <xf numFmtId="0" fontId="0" fillId="0" borderId="62" xfId="0" applyBorder="1" applyAlignment="1">
      <alignment vertical="center"/>
    </xf>
    <xf numFmtId="0" fontId="0" fillId="0" borderId="52" xfId="0" applyBorder="1" applyAlignment="1">
      <alignment vertical="center"/>
    </xf>
    <xf numFmtId="0" fontId="0" fillId="0" borderId="20" xfId="0" applyBorder="1" applyAlignment="1">
      <alignment vertical="center"/>
    </xf>
    <xf numFmtId="0" fontId="0" fillId="0" borderId="0" xfId="0" applyBorder="1" applyAlignment="1">
      <alignment vertical="center"/>
    </xf>
    <xf numFmtId="0" fontId="0" fillId="0" borderId="30" xfId="0" applyBorder="1" applyAlignment="1">
      <alignment vertical="center"/>
    </xf>
    <xf numFmtId="0" fontId="0" fillId="0" borderId="28" xfId="0" applyBorder="1" applyAlignment="1">
      <alignment vertical="center"/>
    </xf>
    <xf numFmtId="0" fontId="0" fillId="0" borderId="22" xfId="0" applyBorder="1" applyAlignment="1">
      <alignment vertical="center"/>
    </xf>
    <xf numFmtId="0" fontId="0" fillId="0" borderId="63" xfId="0" applyBorder="1" applyAlignment="1">
      <alignment vertical="center"/>
    </xf>
    <xf numFmtId="0" fontId="0" fillId="0" borderId="28" xfId="0" applyBorder="1" applyAlignment="1">
      <alignment horizontal="left" vertical="center"/>
    </xf>
    <xf numFmtId="0" fontId="0" fillId="0" borderId="22" xfId="0" applyBorder="1" applyAlignment="1">
      <alignment horizontal="left" vertical="center"/>
    </xf>
    <xf numFmtId="2" fontId="0" fillId="3" borderId="22" xfId="0" applyNumberFormat="1" applyFill="1" applyBorder="1" applyAlignment="1" applyProtection="1">
      <alignment horizontal="center" vertical="center"/>
      <protection locked="0"/>
    </xf>
    <xf numFmtId="2" fontId="0" fillId="3" borderId="63" xfId="0" applyNumberFormat="1" applyFill="1" applyBorder="1" applyAlignment="1" applyProtection="1">
      <alignment horizontal="center" vertical="center"/>
      <protection locked="0"/>
    </xf>
    <xf numFmtId="49" fontId="0" fillId="3" borderId="51" xfId="0" applyNumberFormat="1" applyFill="1" applyBorder="1" applyAlignment="1" applyProtection="1">
      <alignment vertical="center"/>
      <protection locked="0"/>
    </xf>
    <xf numFmtId="49" fontId="0" fillId="3" borderId="14" xfId="0" applyNumberFormat="1" applyFill="1" applyBorder="1" applyAlignment="1" applyProtection="1">
      <alignment vertical="center"/>
      <protection locked="0"/>
    </xf>
    <xf numFmtId="49" fontId="0" fillId="3" borderId="61" xfId="0" applyNumberFormat="1" applyFill="1" applyBorder="1" applyAlignment="1" applyProtection="1">
      <alignment vertical="center"/>
      <protection locked="0"/>
    </xf>
    <xf numFmtId="49" fontId="0" fillId="3" borderId="21" xfId="0" applyNumberFormat="1" applyFill="1" applyBorder="1" applyAlignment="1" applyProtection="1">
      <alignment vertical="center"/>
      <protection locked="0"/>
    </xf>
    <xf numFmtId="49" fontId="0" fillId="3" borderId="0" xfId="0" applyNumberFormat="1" applyFill="1" applyBorder="1" applyAlignment="1" applyProtection="1">
      <alignment vertical="center"/>
      <protection locked="0"/>
    </xf>
    <xf numFmtId="49" fontId="0" fillId="3" borderId="18" xfId="0" applyNumberFormat="1" applyFill="1" applyBorder="1" applyAlignment="1" applyProtection="1">
      <alignment vertical="center"/>
      <protection locked="0"/>
    </xf>
    <xf numFmtId="49" fontId="0" fillId="3" borderId="23" xfId="0" applyNumberFormat="1" applyFill="1" applyBorder="1" applyAlignment="1" applyProtection="1">
      <alignment vertical="center"/>
      <protection locked="0"/>
    </xf>
    <xf numFmtId="49" fontId="0" fillId="3" borderId="22" xfId="0" applyNumberFormat="1" applyFill="1" applyBorder="1" applyAlignment="1" applyProtection="1">
      <alignment vertical="center"/>
      <protection locked="0"/>
    </xf>
    <xf numFmtId="49" fontId="0" fillId="3" borderId="24" xfId="0" applyNumberFormat="1" applyFill="1" applyBorder="1" applyAlignment="1" applyProtection="1">
      <alignment vertical="center"/>
      <protection locked="0"/>
    </xf>
    <xf numFmtId="49" fontId="0" fillId="11" borderId="17" xfId="2" applyNumberFormat="1" applyFont="1" applyFill="1" applyBorder="1" applyAlignment="1" applyProtection="1">
      <alignment vertical="center"/>
      <protection locked="0"/>
    </xf>
    <xf numFmtId="49" fontId="0" fillId="11" borderId="29" xfId="2" applyNumberFormat="1" applyFont="1" applyFill="1" applyBorder="1" applyAlignment="1" applyProtection="1">
      <alignment vertical="center"/>
      <protection locked="0"/>
    </xf>
    <xf numFmtId="49" fontId="0" fillId="11" borderId="37" xfId="2" applyNumberFormat="1" applyFont="1" applyFill="1" applyBorder="1" applyAlignment="1" applyProtection="1">
      <alignment vertical="center"/>
      <protection locked="0"/>
    </xf>
    <xf numFmtId="49" fontId="0" fillId="11" borderId="37" xfId="0" applyNumberFormat="1" applyFill="1" applyBorder="1" applyAlignment="1" applyProtection="1">
      <alignment vertical="center"/>
      <protection locked="0"/>
    </xf>
    <xf numFmtId="0" fontId="0" fillId="3" borderId="0" xfId="0" applyFill="1" applyBorder="1" applyAlignment="1" applyProtection="1">
      <alignment vertical="top"/>
      <protection locked="0"/>
    </xf>
    <xf numFmtId="0" fontId="0" fillId="3" borderId="22" xfId="0" applyFill="1" applyBorder="1" applyAlignment="1" applyProtection="1">
      <alignment vertical="top"/>
      <protection locked="0"/>
    </xf>
    <xf numFmtId="0" fontId="0" fillId="0" borderId="64" xfId="0" applyBorder="1" applyAlignment="1">
      <alignment horizontal="left" vertical="center"/>
    </xf>
    <xf numFmtId="0" fontId="0" fillId="0" borderId="65" xfId="0" applyBorder="1" applyAlignment="1">
      <alignment horizontal="left" vertical="center"/>
    </xf>
    <xf numFmtId="0" fontId="0" fillId="0" borderId="36" xfId="0" applyBorder="1" applyAlignment="1">
      <alignment horizontal="left" vertical="center"/>
    </xf>
    <xf numFmtId="0" fontId="0" fillId="0" borderId="1" xfId="0" applyBorder="1" applyAlignment="1">
      <alignment horizontal="left" vertical="center"/>
    </xf>
    <xf numFmtId="0" fontId="0" fillId="0" borderId="66" xfId="0" applyBorder="1" applyAlignment="1">
      <alignment horizontal="left" vertical="center"/>
    </xf>
    <xf numFmtId="0" fontId="0" fillId="0" borderId="55" xfId="0" applyBorder="1" applyAlignment="1">
      <alignment horizontal="left" vertical="center"/>
    </xf>
    <xf numFmtId="0" fontId="0" fillId="0" borderId="17" xfId="0" applyBorder="1" applyAlignment="1">
      <alignment horizontal="center" vertical="center"/>
    </xf>
    <xf numFmtId="0" fontId="0" fillId="0" borderId="29" xfId="0" applyBorder="1" applyAlignment="1">
      <alignment horizontal="center" vertical="center"/>
    </xf>
    <xf numFmtId="0" fontId="0" fillId="0" borderId="37" xfId="0" applyBorder="1" applyAlignment="1">
      <alignment horizontal="center" vertical="center"/>
    </xf>
    <xf numFmtId="0" fontId="13" fillId="3" borderId="17" xfId="0" applyFont="1" applyFill="1" applyBorder="1" applyAlignment="1" applyProtection="1">
      <alignment vertical="center"/>
      <protection locked="0"/>
    </xf>
    <xf numFmtId="0" fontId="13" fillId="3" borderId="29" xfId="0" applyFont="1" applyFill="1" applyBorder="1" applyAlignment="1" applyProtection="1">
      <alignment vertical="center"/>
      <protection locked="0"/>
    </xf>
    <xf numFmtId="0" fontId="13" fillId="3" borderId="39" xfId="0" applyFont="1" applyFill="1" applyBorder="1" applyAlignment="1" applyProtection="1">
      <alignment vertical="center"/>
      <protection locked="0"/>
    </xf>
    <xf numFmtId="0" fontId="6" fillId="0" borderId="55" xfId="0" applyFont="1" applyBorder="1" applyAlignment="1">
      <alignment horizontal="left" vertical="center"/>
    </xf>
    <xf numFmtId="0" fontId="38" fillId="13" borderId="56" xfId="0" applyFont="1" applyFill="1" applyBorder="1" applyAlignment="1" applyProtection="1">
      <alignment vertical="center"/>
      <protection locked="0"/>
    </xf>
    <xf numFmtId="0" fontId="38" fillId="13" borderId="57" xfId="0" applyFont="1" applyFill="1" applyBorder="1" applyAlignment="1" applyProtection="1">
      <alignment vertical="center"/>
      <protection locked="0"/>
    </xf>
    <xf numFmtId="0" fontId="38" fillId="13" borderId="40" xfId="0" applyFont="1" applyFill="1" applyBorder="1" applyAlignment="1" applyProtection="1">
      <alignment vertical="center"/>
      <protection locked="0"/>
    </xf>
    <xf numFmtId="0" fontId="0" fillId="0" borderId="44" xfId="0" applyFill="1" applyBorder="1" applyAlignment="1">
      <alignment horizontal="left" vertical="center"/>
    </xf>
    <xf numFmtId="0" fontId="0" fillId="0" borderId="43" xfId="0" applyFill="1" applyBorder="1" applyAlignment="1">
      <alignment horizontal="left" vertical="center"/>
    </xf>
    <xf numFmtId="0" fontId="0" fillId="0" borderId="58" xfId="0" applyFill="1" applyBorder="1" applyAlignment="1">
      <alignment horizontal="left" vertical="center"/>
    </xf>
    <xf numFmtId="14" fontId="0" fillId="11" borderId="51" xfId="0" applyNumberFormat="1" applyFill="1" applyBorder="1" applyAlignment="1" applyProtection="1">
      <alignment vertical="center"/>
      <protection locked="0"/>
    </xf>
    <xf numFmtId="14" fontId="0" fillId="11" borderId="14" xfId="0" applyNumberFormat="1" applyFill="1" applyBorder="1" applyAlignment="1" applyProtection="1">
      <alignment vertical="center"/>
      <protection locked="0"/>
    </xf>
    <xf numFmtId="14" fontId="0" fillId="11" borderId="61" xfId="0" applyNumberFormat="1" applyFill="1" applyBorder="1" applyAlignment="1" applyProtection="1">
      <alignment vertical="center"/>
      <protection locked="0"/>
    </xf>
    <xf numFmtId="14" fontId="0" fillId="11" borderId="31" xfId="0" applyNumberFormat="1" applyFill="1" applyBorder="1" applyAlignment="1" applyProtection="1">
      <alignment vertical="center"/>
      <protection locked="0"/>
    </xf>
    <xf numFmtId="14" fontId="0" fillId="11" borderId="2" xfId="0" applyNumberFormat="1" applyFill="1" applyBorder="1" applyAlignment="1" applyProtection="1">
      <alignment vertical="center"/>
      <protection locked="0"/>
    </xf>
    <xf numFmtId="14" fontId="0" fillId="11" borderId="42" xfId="0" applyNumberFormat="1" applyFill="1" applyBorder="1" applyAlignment="1" applyProtection="1">
      <alignment vertical="center"/>
      <protection locked="0"/>
    </xf>
    <xf numFmtId="183" fontId="0" fillId="3" borderId="46" xfId="0" applyNumberFormat="1" applyFill="1" applyBorder="1" applyAlignment="1" applyProtection="1">
      <alignment horizontal="left" vertical="center"/>
      <protection locked="0"/>
    </xf>
    <xf numFmtId="4" fontId="39" fillId="0" borderId="0" xfId="2" applyNumberFormat="1" applyFont="1" applyFill="1" applyBorder="1" applyAlignment="1">
      <alignment vertical="center" shrinkToFit="1"/>
    </xf>
    <xf numFmtId="4" fontId="39" fillId="0" borderId="18" xfId="0" applyNumberFormat="1" applyFont="1" applyBorder="1" applyAlignment="1">
      <alignment vertical="center"/>
    </xf>
    <xf numFmtId="190" fontId="13" fillId="3" borderId="57" xfId="0" applyNumberFormat="1" applyFont="1" applyFill="1" applyBorder="1" applyAlignment="1" applyProtection="1">
      <alignment horizontal="center" vertical="center"/>
      <protection locked="0"/>
    </xf>
    <xf numFmtId="190" fontId="7" fillId="0" borderId="56" xfId="0" applyNumberFormat="1" applyFont="1" applyFill="1" applyBorder="1" applyAlignment="1" applyProtection="1">
      <alignment vertical="center"/>
      <protection locked="0"/>
    </xf>
    <xf numFmtId="190" fontId="7" fillId="0" borderId="57" xfId="0" applyNumberFormat="1" applyFont="1" applyFill="1" applyBorder="1" applyAlignment="1" applyProtection="1">
      <alignment vertical="center"/>
      <protection locked="0"/>
    </xf>
    <xf numFmtId="0" fontId="0" fillId="3" borderId="46" xfId="0" applyFill="1" applyBorder="1" applyAlignment="1" applyProtection="1">
      <alignment vertical="top" wrapText="1"/>
      <protection locked="0"/>
    </xf>
    <xf numFmtId="0" fontId="0" fillId="3" borderId="47" xfId="0" applyFill="1" applyBorder="1" applyAlignment="1" applyProtection="1">
      <alignment vertical="top" wrapText="1"/>
      <protection locked="0"/>
    </xf>
    <xf numFmtId="0" fontId="0" fillId="3" borderId="0" xfId="0" applyFill="1" applyBorder="1" applyAlignment="1" applyProtection="1">
      <alignment vertical="top" wrapText="1"/>
      <protection locked="0"/>
    </xf>
    <xf numFmtId="0" fontId="0" fillId="3" borderId="18" xfId="0" applyFill="1" applyBorder="1" applyAlignment="1" applyProtection="1">
      <alignment vertical="top" wrapText="1"/>
      <protection locked="0"/>
    </xf>
    <xf numFmtId="38" fontId="38" fillId="0" borderId="0" xfId="2" applyFont="1" applyFill="1" applyBorder="1" applyAlignment="1">
      <alignment vertical="center" shrinkToFit="1"/>
    </xf>
    <xf numFmtId="0" fontId="38" fillId="0" borderId="18" xfId="0" applyFont="1" applyBorder="1" applyAlignment="1">
      <alignment vertical="center"/>
    </xf>
    <xf numFmtId="0" fontId="0" fillId="0" borderId="2" xfId="0" applyBorder="1" applyAlignment="1">
      <alignment horizontal="right" vertical="center"/>
    </xf>
    <xf numFmtId="0" fontId="0" fillId="13" borderId="2" xfId="0" applyFill="1" applyBorder="1" applyAlignment="1">
      <alignment vertical="center"/>
    </xf>
    <xf numFmtId="0" fontId="0" fillId="0" borderId="15" xfId="0" applyFill="1" applyBorder="1" applyAlignment="1">
      <alignment horizontal="distributed" vertical="center"/>
    </xf>
    <xf numFmtId="0" fontId="0" fillId="0" borderId="41" xfId="0" applyFill="1" applyBorder="1" applyAlignment="1">
      <alignment horizontal="distributed" vertical="center"/>
    </xf>
    <xf numFmtId="38" fontId="39" fillId="0" borderId="0" xfId="2" applyFont="1" applyFill="1" applyBorder="1" applyAlignment="1">
      <alignment vertical="center" shrinkToFit="1"/>
    </xf>
    <xf numFmtId="0" fontId="39" fillId="0" borderId="18" xfId="0" applyFont="1" applyBorder="1" applyAlignment="1">
      <alignment vertical="center"/>
    </xf>
    <xf numFmtId="31" fontId="0" fillId="3" borderId="15" xfId="0" applyNumberFormat="1" applyFill="1" applyBorder="1" applyAlignment="1" applyProtection="1">
      <alignment horizontal="distributed" vertical="center"/>
      <protection locked="0"/>
    </xf>
    <xf numFmtId="31" fontId="0" fillId="3" borderId="16" xfId="0" applyNumberFormat="1" applyFill="1" applyBorder="1" applyAlignment="1" applyProtection="1">
      <alignment horizontal="distributed" vertical="center"/>
      <protection locked="0"/>
    </xf>
    <xf numFmtId="31" fontId="0" fillId="3" borderId="41" xfId="0" applyNumberFormat="1" applyFill="1" applyBorder="1" applyAlignment="1" applyProtection="1">
      <alignment horizontal="distributed" vertical="center"/>
      <protection locked="0"/>
    </xf>
    <xf numFmtId="0" fontId="0" fillId="3" borderId="29" xfId="0" applyFill="1" applyBorder="1" applyAlignment="1" applyProtection="1">
      <alignment vertical="center"/>
      <protection locked="0"/>
    </xf>
    <xf numFmtId="31" fontId="0" fillId="4" borderId="15" xfId="0" applyNumberFormat="1" applyFill="1" applyBorder="1" applyAlignment="1" applyProtection="1">
      <alignment horizontal="distributed" vertical="center"/>
      <protection locked="0"/>
    </xf>
    <xf numFmtId="31" fontId="0" fillId="4" borderId="16" xfId="0" applyNumberFormat="1" applyFill="1" applyBorder="1" applyAlignment="1" applyProtection="1">
      <alignment horizontal="distributed" vertical="center"/>
      <protection locked="0"/>
    </xf>
    <xf numFmtId="31" fontId="0" fillId="4" borderId="41" xfId="0" applyNumberFormat="1" applyFill="1" applyBorder="1" applyAlignment="1" applyProtection="1">
      <alignment horizontal="distributed" vertical="center"/>
      <protection locked="0"/>
    </xf>
    <xf numFmtId="0" fontId="5" fillId="0" borderId="2" xfId="0" applyFont="1" applyBorder="1" applyAlignment="1">
      <alignment vertical="center"/>
    </xf>
    <xf numFmtId="0" fontId="5" fillId="0" borderId="29" xfId="0" applyFont="1" applyBorder="1" applyAlignment="1">
      <alignment vertical="center"/>
    </xf>
    <xf numFmtId="49" fontId="38" fillId="11" borderId="59" xfId="0" applyNumberFormat="1" applyFont="1" applyFill="1" applyBorder="1" applyAlignment="1" applyProtection="1">
      <alignment vertical="center"/>
      <protection locked="0"/>
    </xf>
    <xf numFmtId="49" fontId="38" fillId="11" borderId="43" xfId="0" applyNumberFormat="1" applyFont="1" applyFill="1" applyBorder="1" applyAlignment="1" applyProtection="1">
      <alignment vertical="center"/>
      <protection locked="0"/>
    </xf>
    <xf numFmtId="49" fontId="38" fillId="11" borderId="38" xfId="0" applyNumberFormat="1" applyFont="1" applyFill="1" applyBorder="1" applyAlignment="1" applyProtection="1">
      <alignment vertical="center"/>
      <protection locked="0"/>
    </xf>
    <xf numFmtId="0" fontId="0" fillId="0" borderId="17" xfId="0" applyBorder="1" applyAlignment="1">
      <alignment vertical="center"/>
    </xf>
    <xf numFmtId="49" fontId="42" fillId="3" borderId="31" xfId="0" applyNumberFormat="1" applyFont="1" applyFill="1" applyBorder="1" applyAlignment="1" applyProtection="1">
      <alignment vertical="center"/>
      <protection locked="0"/>
    </xf>
    <xf numFmtId="49" fontId="42" fillId="3" borderId="2" xfId="0" applyNumberFormat="1" applyFont="1" applyFill="1" applyBorder="1" applyAlignment="1" applyProtection="1">
      <alignment vertical="center"/>
      <protection locked="0"/>
    </xf>
    <xf numFmtId="49" fontId="42" fillId="3" borderId="42" xfId="0" applyNumberFormat="1" applyFont="1" applyFill="1" applyBorder="1" applyAlignment="1" applyProtection="1">
      <alignment vertical="center"/>
      <protection locked="0"/>
    </xf>
    <xf numFmtId="0" fontId="0" fillId="0" borderId="29" xfId="0" applyBorder="1" applyAlignment="1" applyProtection="1">
      <alignment vertical="center"/>
      <protection locked="0"/>
    </xf>
    <xf numFmtId="0" fontId="38" fillId="0" borderId="18" xfId="0" applyFont="1" applyFill="1" applyBorder="1" applyAlignment="1">
      <alignment vertical="center"/>
    </xf>
    <xf numFmtId="0" fontId="7" fillId="0" borderId="20" xfId="0" applyFont="1" applyBorder="1" applyAlignment="1">
      <alignment vertical="center"/>
    </xf>
    <xf numFmtId="0" fontId="7" fillId="0" borderId="0" xfId="0" applyFont="1" applyBorder="1" applyAlignment="1">
      <alignment vertical="center"/>
    </xf>
    <xf numFmtId="0" fontId="0" fillId="13" borderId="2" xfId="0" applyFill="1" applyBorder="1" applyAlignment="1">
      <alignment horizontal="center" vertical="center"/>
    </xf>
    <xf numFmtId="0" fontId="0" fillId="3" borderId="0" xfId="0" applyFill="1" applyBorder="1" applyAlignment="1" applyProtection="1">
      <alignment horizontal="left" vertical="center"/>
      <protection locked="0"/>
    </xf>
    <xf numFmtId="183" fontId="0" fillId="0" borderId="0" xfId="0" applyNumberFormat="1" applyFill="1" applyBorder="1" applyAlignment="1" applyProtection="1">
      <alignment horizontal="center" vertical="center"/>
      <protection locked="0"/>
    </xf>
    <xf numFmtId="183" fontId="0" fillId="3" borderId="0" xfId="0" applyNumberFormat="1" applyFill="1" applyBorder="1" applyAlignment="1" applyProtection="1">
      <alignment horizontal="center" vertical="center"/>
      <protection locked="0"/>
    </xf>
    <xf numFmtId="183" fontId="0" fillId="3" borderId="18" xfId="0" applyNumberFormat="1" applyFill="1" applyBorder="1" applyAlignment="1" applyProtection="1">
      <alignment horizontal="center" vertical="center"/>
      <protection locked="0"/>
    </xf>
    <xf numFmtId="4" fontId="38" fillId="0" borderId="0" xfId="2" applyNumberFormat="1" applyFont="1" applyFill="1" applyBorder="1" applyAlignment="1">
      <alignment horizontal="right" vertical="center" shrinkToFit="1"/>
    </xf>
    <xf numFmtId="4" fontId="38" fillId="0" borderId="18" xfId="2" applyNumberFormat="1" applyFont="1" applyFill="1" applyBorder="1" applyAlignment="1">
      <alignment horizontal="right" vertical="center" shrinkToFit="1"/>
    </xf>
    <xf numFmtId="0" fontId="21" fillId="0" borderId="0" xfId="0" applyFont="1" applyAlignment="1">
      <alignment horizontal="center"/>
    </xf>
    <xf numFmtId="31" fontId="21" fillId="0" borderId="0" xfId="0" applyNumberFormat="1" applyFont="1" applyBorder="1" applyAlignment="1">
      <alignment horizontal="center"/>
    </xf>
    <xf numFmtId="49" fontId="23" fillId="0" borderId="0" xfId="0" applyNumberFormat="1" applyFont="1" applyBorder="1" applyAlignment="1">
      <alignment horizontal="center"/>
    </xf>
    <xf numFmtId="31" fontId="21" fillId="0" borderId="0" xfId="0" applyNumberFormat="1" applyFont="1" applyAlignment="1">
      <alignment horizontal="center"/>
    </xf>
    <xf numFmtId="0" fontId="21" fillId="0" borderId="0" xfId="0" applyFont="1" applyAlignment="1">
      <alignment horizontal="right"/>
    </xf>
    <xf numFmtId="3" fontId="21" fillId="0" borderId="29" xfId="0" applyNumberFormat="1" applyFont="1" applyBorder="1" applyAlignment="1">
      <alignment horizontal="right"/>
    </xf>
    <xf numFmtId="3" fontId="21" fillId="0" borderId="14" xfId="0" applyNumberFormat="1" applyFont="1" applyBorder="1" applyAlignment="1">
      <alignment horizontal="right"/>
    </xf>
    <xf numFmtId="3" fontId="21" fillId="0" borderId="2" xfId="0" applyNumberFormat="1" applyFont="1" applyBorder="1" applyAlignment="1">
      <alignment horizontal="right"/>
    </xf>
    <xf numFmtId="3" fontId="21" fillId="0" borderId="0" xfId="0" applyNumberFormat="1" applyFont="1" applyAlignment="1">
      <alignment horizontal="right"/>
    </xf>
    <xf numFmtId="0" fontId="21" fillId="0" borderId="29" xfId="0" applyFont="1" applyBorder="1" applyAlignment="1">
      <alignment horizontal="center"/>
    </xf>
    <xf numFmtId="3" fontId="21" fillId="0" borderId="13" xfId="0" applyNumberFormat="1" applyFont="1" applyBorder="1" applyAlignment="1">
      <alignment horizontal="right"/>
    </xf>
    <xf numFmtId="0" fontId="21" fillId="0" borderId="0" xfId="0" applyFont="1" applyBorder="1" applyAlignment="1">
      <alignment horizontal="center"/>
    </xf>
    <xf numFmtId="0" fontId="21" fillId="0" borderId="0" xfId="0" applyNumberFormat="1" applyFont="1" applyAlignment="1">
      <alignment horizontal="left"/>
    </xf>
    <xf numFmtId="0" fontId="21" fillId="0" borderId="0" xfId="0" applyFont="1" applyAlignment="1">
      <alignment horizontal="left"/>
    </xf>
    <xf numFmtId="190" fontId="21" fillId="0" borderId="0" xfId="0" applyNumberFormat="1" applyFont="1" applyAlignment="1">
      <alignment horizontal="center"/>
    </xf>
    <xf numFmtId="3" fontId="21" fillId="0" borderId="0" xfId="0" applyNumberFormat="1" applyFont="1" applyBorder="1" applyAlignment="1">
      <alignment horizontal="right"/>
    </xf>
    <xf numFmtId="0" fontId="21" fillId="0" borderId="2" xfId="0" applyFont="1" applyBorder="1" applyAlignment="1">
      <alignment horizontal="center"/>
    </xf>
    <xf numFmtId="2" fontId="21" fillId="0" borderId="0" xfId="0" applyNumberFormat="1" applyFont="1" applyBorder="1" applyAlignment="1">
      <alignment horizontal="center"/>
    </xf>
    <xf numFmtId="0" fontId="21" fillId="0" borderId="0" xfId="0" applyFont="1" applyAlignment="1">
      <alignment vertical="top" wrapText="1"/>
    </xf>
    <xf numFmtId="0" fontId="21" fillId="0" borderId="13" xfId="0" applyFont="1" applyBorder="1" applyAlignment="1">
      <alignment horizontal="center"/>
    </xf>
    <xf numFmtId="0" fontId="25" fillId="0" borderId="0" xfId="0" applyFont="1" applyAlignment="1">
      <alignment horizontal="center"/>
    </xf>
    <xf numFmtId="0" fontId="22" fillId="0" borderId="0" xfId="0" applyFont="1" applyAlignment="1">
      <alignment horizontal="center" vertical="center"/>
    </xf>
    <xf numFmtId="49" fontId="21" fillId="0" borderId="0" xfId="0" applyNumberFormat="1" applyFont="1" applyBorder="1" applyAlignment="1">
      <alignment horizontal="center"/>
    </xf>
    <xf numFmtId="192" fontId="21" fillId="0" borderId="0" xfId="0" applyNumberFormat="1" applyFont="1" applyAlignment="1">
      <alignment horizontal="left"/>
    </xf>
    <xf numFmtId="0" fontId="21" fillId="0" borderId="14" xfId="0" applyFont="1" applyBorder="1" applyAlignment="1">
      <alignment horizontal="center"/>
    </xf>
    <xf numFmtId="31" fontId="23" fillId="0" borderId="0" xfId="0" applyNumberFormat="1" applyFont="1" applyAlignment="1">
      <alignment horizontal="center"/>
    </xf>
    <xf numFmtId="31" fontId="23" fillId="0" borderId="33" xfId="0" applyNumberFormat="1" applyFont="1" applyBorder="1" applyAlignment="1">
      <alignment horizontal="right"/>
    </xf>
    <xf numFmtId="0" fontId="23" fillId="0" borderId="67" xfId="0" applyFont="1" applyBorder="1" applyAlignment="1">
      <alignment horizontal="center"/>
    </xf>
    <xf numFmtId="0" fontId="23" fillId="0" borderId="0" xfId="0" applyFont="1" applyBorder="1" applyAlignment="1">
      <alignment horizontal="center"/>
    </xf>
    <xf numFmtId="31" fontId="23" fillId="0" borderId="0" xfId="0" applyNumberFormat="1" applyFont="1" applyBorder="1" applyAlignment="1">
      <alignment horizontal="center"/>
    </xf>
    <xf numFmtId="0" fontId="23" fillId="0" borderId="0" xfId="0" applyNumberFormat="1" applyFont="1" applyBorder="1" applyAlignment="1">
      <alignment horizontal="center"/>
    </xf>
    <xf numFmtId="0" fontId="23" fillId="0" borderId="68" xfId="0" applyNumberFormat="1" applyFont="1" applyBorder="1" applyAlignment="1">
      <alignment horizontal="center"/>
    </xf>
    <xf numFmtId="0" fontId="23" fillId="0" borderId="33" xfId="0" applyNumberFormat="1" applyFont="1" applyBorder="1" applyAlignment="1">
      <alignment horizontal="center"/>
    </xf>
    <xf numFmtId="0" fontId="23" fillId="0" borderId="69" xfId="0" applyNumberFormat="1" applyFont="1" applyBorder="1" applyAlignment="1">
      <alignment horizontal="center"/>
    </xf>
    <xf numFmtId="0" fontId="23" fillId="0" borderId="13" xfId="0" applyFont="1" applyBorder="1" applyAlignment="1">
      <alignment horizontal="center"/>
    </xf>
    <xf numFmtId="49" fontId="23" fillId="0" borderId="0" xfId="0" applyNumberFormat="1" applyFont="1" applyAlignment="1">
      <alignment horizontal="center"/>
    </xf>
    <xf numFmtId="0" fontId="23" fillId="0" borderId="71" xfId="0" applyFont="1" applyBorder="1" applyAlignment="1">
      <alignment horizontal="center"/>
    </xf>
    <xf numFmtId="0" fontId="23" fillId="0" borderId="0" xfId="0" applyNumberFormat="1" applyFont="1" applyAlignment="1">
      <alignment horizontal="center"/>
    </xf>
    <xf numFmtId="0" fontId="23" fillId="0" borderId="70" xfId="0" applyFont="1" applyBorder="1" applyAlignment="1">
      <alignment horizontal="center"/>
    </xf>
    <xf numFmtId="0" fontId="21" fillId="0" borderId="1" xfId="0" applyFont="1" applyBorder="1" applyAlignment="1">
      <alignment horizontal="center"/>
    </xf>
    <xf numFmtId="0" fontId="21" fillId="0" borderId="17" xfId="0" applyFont="1" applyBorder="1" applyAlignment="1">
      <alignment horizontal="center"/>
    </xf>
    <xf numFmtId="0" fontId="21" fillId="0" borderId="37" xfId="0" applyFont="1" applyBorder="1" applyAlignment="1">
      <alignment horizontal="center"/>
    </xf>
    <xf numFmtId="0" fontId="0" fillId="0" borderId="29" xfId="0" applyBorder="1" applyAlignment="1">
      <alignment horizontal="center"/>
    </xf>
    <xf numFmtId="0" fontId="0" fillId="0" borderId="37" xfId="0" applyBorder="1" applyAlignment="1">
      <alignment horizontal="center"/>
    </xf>
    <xf numFmtId="0" fontId="21" fillId="0" borderId="1" xfId="0" applyFont="1" applyBorder="1" applyAlignment="1"/>
    <xf numFmtId="185" fontId="21" fillId="0" borderId="51" xfId="0" applyNumberFormat="1" applyFont="1" applyBorder="1" applyAlignment="1">
      <alignment horizontal="center"/>
    </xf>
    <xf numFmtId="185" fontId="21" fillId="0" borderId="14" xfId="0" applyNumberFormat="1" applyFont="1" applyBorder="1" applyAlignment="1">
      <alignment horizontal="center"/>
    </xf>
    <xf numFmtId="185" fontId="21" fillId="0" borderId="52" xfId="0" applyNumberFormat="1" applyFont="1" applyBorder="1" applyAlignment="1">
      <alignment horizontal="center"/>
    </xf>
    <xf numFmtId="185" fontId="21" fillId="0" borderId="31" xfId="0" applyNumberFormat="1" applyFont="1" applyBorder="1" applyAlignment="1">
      <alignment horizontal="center"/>
    </xf>
    <xf numFmtId="185" fontId="21" fillId="0" borderId="2" xfId="0" applyNumberFormat="1" applyFont="1" applyBorder="1" applyAlignment="1">
      <alignment horizontal="center"/>
    </xf>
    <xf numFmtId="185" fontId="21" fillId="0" borderId="32" xfId="0" applyNumberFormat="1" applyFont="1" applyBorder="1" applyAlignment="1">
      <alignment horizontal="center"/>
    </xf>
    <xf numFmtId="187" fontId="21" fillId="0" borderId="51" xfId="0" applyNumberFormat="1" applyFont="1" applyBorder="1" applyAlignment="1">
      <alignment horizontal="center"/>
    </xf>
    <xf numFmtId="187" fontId="21" fillId="0" borderId="14" xfId="0" applyNumberFormat="1" applyFont="1" applyBorder="1" applyAlignment="1">
      <alignment horizontal="center"/>
    </xf>
    <xf numFmtId="187" fontId="21" fillId="0" borderId="52" xfId="0" applyNumberFormat="1" applyFont="1" applyBorder="1" applyAlignment="1">
      <alignment horizontal="center"/>
    </xf>
    <xf numFmtId="187" fontId="21" fillId="0" borderId="31" xfId="0" applyNumberFormat="1" applyFont="1" applyBorder="1" applyAlignment="1">
      <alignment horizontal="center"/>
    </xf>
    <xf numFmtId="187" fontId="21" fillId="0" borderId="2" xfId="0" applyNumberFormat="1" applyFont="1" applyBorder="1" applyAlignment="1">
      <alignment horizontal="center"/>
    </xf>
    <xf numFmtId="187" fontId="21" fillId="0" borderId="32" xfId="0" applyNumberFormat="1" applyFont="1" applyBorder="1" applyAlignment="1">
      <alignment horizontal="center"/>
    </xf>
    <xf numFmtId="0" fontId="23" fillId="0" borderId="0" xfId="0" applyFont="1" applyAlignment="1">
      <alignment horizontal="center" vertical="center"/>
    </xf>
    <xf numFmtId="0" fontId="23" fillId="0" borderId="30" xfId="0" applyFont="1" applyBorder="1" applyAlignment="1">
      <alignment horizontal="center" vertical="center"/>
    </xf>
    <xf numFmtId="31" fontId="21" fillId="0" borderId="51" xfId="0" applyNumberFormat="1" applyFont="1" applyBorder="1" applyAlignment="1">
      <alignment horizontal="center" vertical="center"/>
    </xf>
    <xf numFmtId="31" fontId="21" fillId="0" borderId="14" xfId="0" applyNumberFormat="1" applyFont="1" applyBorder="1" applyAlignment="1">
      <alignment horizontal="center" vertical="center"/>
    </xf>
    <xf numFmtId="31" fontId="21" fillId="0" borderId="52" xfId="0" applyNumberFormat="1" applyFont="1" applyBorder="1" applyAlignment="1">
      <alignment horizontal="center" vertical="center"/>
    </xf>
    <xf numFmtId="31" fontId="21" fillId="0" borderId="31" xfId="0" applyNumberFormat="1" applyFont="1" applyBorder="1" applyAlignment="1">
      <alignment horizontal="center" vertical="center"/>
    </xf>
    <xf numFmtId="31" fontId="21" fillId="0" borderId="2" xfId="0" applyNumberFormat="1" applyFont="1" applyBorder="1" applyAlignment="1">
      <alignment horizontal="center" vertical="center"/>
    </xf>
    <xf numFmtId="31" fontId="21" fillId="0" borderId="32" xfId="0" applyNumberFormat="1" applyFont="1" applyBorder="1" applyAlignment="1">
      <alignment horizontal="center" vertical="center"/>
    </xf>
    <xf numFmtId="31" fontId="21" fillId="0" borderId="14" xfId="0" applyNumberFormat="1" applyFont="1" applyBorder="1" applyAlignment="1">
      <alignment horizontal="center"/>
    </xf>
    <xf numFmtId="31" fontId="21" fillId="0" borderId="52" xfId="0" applyNumberFormat="1" applyFont="1" applyBorder="1" applyAlignment="1">
      <alignment horizontal="center"/>
    </xf>
    <xf numFmtId="31" fontId="21" fillId="0" borderId="2" xfId="0" applyNumberFormat="1" applyFont="1" applyBorder="1" applyAlignment="1">
      <alignment horizontal="center"/>
    </xf>
    <xf numFmtId="31" fontId="21" fillId="0" borderId="32" xfId="0" applyNumberFormat="1" applyFont="1" applyBorder="1" applyAlignment="1">
      <alignment horizontal="center"/>
    </xf>
    <xf numFmtId="0" fontId="21" fillId="0" borderId="0" xfId="0" applyFont="1" applyAlignment="1">
      <alignment horizontal="center" vertical="center"/>
    </xf>
    <xf numFmtId="0" fontId="21" fillId="0" borderId="51" xfId="0" applyFont="1" applyBorder="1" applyAlignment="1">
      <alignment horizontal="left" vertical="center"/>
    </xf>
    <xf numFmtId="0" fontId="21" fillId="0" borderId="14" xfId="0" applyFont="1" applyBorder="1" applyAlignment="1">
      <alignment horizontal="left" vertical="center"/>
    </xf>
    <xf numFmtId="0" fontId="21" fillId="0" borderId="52" xfId="0" applyFont="1" applyBorder="1" applyAlignment="1">
      <alignment horizontal="left" vertical="center"/>
    </xf>
    <xf numFmtId="0" fontId="21" fillId="0" borderId="31" xfId="0" applyFont="1" applyBorder="1" applyAlignment="1">
      <alignment horizontal="left" vertical="center"/>
    </xf>
    <xf numFmtId="0" fontId="21" fillId="0" borderId="2" xfId="0" applyFont="1" applyBorder="1" applyAlignment="1">
      <alignment horizontal="left" vertical="center"/>
    </xf>
    <xf numFmtId="0" fontId="21" fillId="0" borderId="32" xfId="0" applyFont="1" applyBorder="1" applyAlignment="1">
      <alignment horizontal="left" vertical="center"/>
    </xf>
    <xf numFmtId="31" fontId="21" fillId="0" borderId="51" xfId="0" applyNumberFormat="1" applyFont="1" applyBorder="1" applyAlignment="1">
      <alignment horizontal="center"/>
    </xf>
    <xf numFmtId="31" fontId="21" fillId="0" borderId="31" xfId="0" applyNumberFormat="1" applyFont="1" applyBorder="1" applyAlignment="1">
      <alignment horizontal="center"/>
    </xf>
    <xf numFmtId="0" fontId="31" fillId="0" borderId="2" xfId="0" applyFont="1" applyBorder="1" applyAlignment="1">
      <alignment wrapText="1"/>
    </xf>
    <xf numFmtId="0" fontId="31" fillId="0" borderId="2" xfId="0" applyFont="1" applyBorder="1" applyAlignment="1"/>
    <xf numFmtId="0" fontId="21" fillId="0" borderId="30" xfId="0" applyFont="1" applyBorder="1" applyAlignment="1">
      <alignment horizontal="center" vertical="center"/>
    </xf>
    <xf numFmtId="0" fontId="24" fillId="0" borderId="0" xfId="0" applyFont="1" applyAlignment="1">
      <alignment horizontal="left"/>
    </xf>
    <xf numFmtId="0" fontId="24" fillId="0" borderId="0" xfId="0" applyFont="1" applyAlignment="1">
      <alignment horizontal="center"/>
    </xf>
    <xf numFmtId="0" fontId="24" fillId="0" borderId="0" xfId="0" applyFont="1" applyAlignment="1">
      <alignment wrapText="1"/>
    </xf>
    <xf numFmtId="0" fontId="24" fillId="0" borderId="0" xfId="0" applyFont="1" applyAlignment="1"/>
    <xf numFmtId="0" fontId="24" fillId="0" borderId="0" xfId="0" applyFont="1" applyBorder="1" applyAlignment="1">
      <alignment horizontal="left"/>
    </xf>
    <xf numFmtId="0" fontId="24" fillId="0" borderId="0" xfId="0" applyFont="1" applyBorder="1" applyAlignment="1">
      <alignment horizontal="right" vertical="top"/>
    </xf>
    <xf numFmtId="0" fontId="43" fillId="0" borderId="0" xfId="0" applyFont="1" applyAlignment="1">
      <alignment horizontal="left"/>
    </xf>
    <xf numFmtId="0" fontId="24" fillId="0" borderId="0" xfId="0" applyFont="1" applyAlignment="1">
      <alignment vertical="top" wrapText="1"/>
    </xf>
    <xf numFmtId="31" fontId="24" fillId="0" borderId="0" xfId="0" applyNumberFormat="1" applyFont="1" applyBorder="1" applyAlignment="1">
      <alignment horizontal="center"/>
    </xf>
    <xf numFmtId="0" fontId="24" fillId="0" borderId="0" xfId="0" applyFont="1" applyBorder="1" applyAlignment="1">
      <alignment horizontal="center"/>
    </xf>
    <xf numFmtId="192" fontId="25" fillId="0" borderId="0" xfId="0" applyNumberFormat="1" applyFont="1" applyBorder="1" applyAlignment="1">
      <alignment horizontal="left"/>
    </xf>
    <xf numFmtId="0" fontId="24" fillId="0" borderId="0" xfId="0" applyNumberFormat="1" applyFont="1" applyBorder="1" applyAlignment="1">
      <alignment horizontal="left"/>
    </xf>
    <xf numFmtId="0" fontId="0" fillId="0" borderId="0" xfId="0" applyAlignment="1"/>
    <xf numFmtId="196" fontId="0" fillId="4" borderId="0" xfId="0" applyNumberFormat="1" applyFill="1" applyAlignment="1" applyProtection="1">
      <protection locked="0"/>
    </xf>
    <xf numFmtId="185" fontId="38" fillId="0" borderId="0" xfId="0" applyNumberFormat="1" applyFont="1" applyFill="1" applyBorder="1" applyAlignment="1" applyProtection="1">
      <alignment horizontal="right"/>
    </xf>
    <xf numFmtId="0" fontId="0" fillId="3" borderId="0" xfId="0" applyFill="1" applyBorder="1" applyAlignment="1"/>
    <xf numFmtId="0" fontId="0" fillId="0" borderId="0" xfId="0" applyBorder="1" applyAlignment="1"/>
    <xf numFmtId="180" fontId="38" fillId="0" borderId="0" xfId="0" applyNumberFormat="1" applyFont="1" applyBorder="1" applyAlignment="1">
      <alignment horizontal="right"/>
    </xf>
    <xf numFmtId="0" fontId="0" fillId="0" borderId="0" xfId="0" applyFill="1" applyBorder="1" applyAlignment="1"/>
    <xf numFmtId="183" fontId="0" fillId="0" borderId="0" xfId="0" applyNumberFormat="1" applyFill="1" applyBorder="1" applyAlignment="1" applyProtection="1">
      <protection locked="0"/>
    </xf>
    <xf numFmtId="0" fontId="0" fillId="0" borderId="0" xfId="0" applyFill="1" applyBorder="1" applyAlignment="1" applyProtection="1">
      <protection locked="0"/>
    </xf>
    <xf numFmtId="185" fontId="0" fillId="3" borderId="0" xfId="0" applyNumberFormat="1" applyFill="1" applyBorder="1" applyAlignment="1" applyProtection="1"/>
    <xf numFmtId="180" fontId="0" fillId="3" borderId="0" xfId="0" applyNumberFormat="1" applyFill="1" applyBorder="1" applyAlignment="1" applyProtection="1">
      <protection locked="0"/>
    </xf>
    <xf numFmtId="191" fontId="38" fillId="3" borderId="0" xfId="0" applyNumberFormat="1" applyFont="1" applyFill="1" applyAlignment="1" applyProtection="1">
      <protection locked="0"/>
    </xf>
    <xf numFmtId="0" fontId="5" fillId="0" borderId="0" xfId="0" applyFont="1" applyAlignment="1">
      <alignment horizontal="center"/>
    </xf>
    <xf numFmtId="194" fontId="38" fillId="3" borderId="0" xfId="0" applyNumberFormat="1" applyFont="1" applyFill="1" applyBorder="1" applyAlignment="1" applyProtection="1">
      <alignment horizontal="right" vertical="center" shrinkToFit="1"/>
      <protection locked="0"/>
    </xf>
    <xf numFmtId="186" fontId="0" fillId="0" borderId="0" xfId="0" applyNumberFormat="1" applyBorder="1" applyAlignment="1"/>
    <xf numFmtId="0" fontId="0" fillId="3" borderId="0" xfId="0" applyFill="1" applyAlignment="1">
      <alignment horizontal="center"/>
    </xf>
    <xf numFmtId="0" fontId="38" fillId="0" borderId="0" xfId="0" applyFont="1" applyAlignment="1" applyProtection="1">
      <alignment horizontal="center"/>
      <protection locked="0"/>
    </xf>
    <xf numFmtId="0" fontId="1" fillId="0" borderId="0" xfId="0" applyFont="1" applyAlignment="1">
      <alignment horizontal="center"/>
    </xf>
    <xf numFmtId="0" fontId="0" fillId="0" borderId="29" xfId="0" applyBorder="1" applyAlignment="1">
      <alignment horizontal="right"/>
    </xf>
    <xf numFmtId="0" fontId="0" fillId="0" borderId="29" xfId="0" applyBorder="1" applyAlignment="1"/>
    <xf numFmtId="0" fontId="39" fillId="0" borderId="2" xfId="0" applyFont="1" applyBorder="1" applyAlignment="1"/>
    <xf numFmtId="0" fontId="39" fillId="0" borderId="32" xfId="0" applyFont="1" applyBorder="1" applyAlignment="1"/>
    <xf numFmtId="0" fontId="38" fillId="0" borderId="2" xfId="0" applyFont="1" applyBorder="1" applyAlignment="1"/>
    <xf numFmtId="0" fontId="0" fillId="0" borderId="0" xfId="0" applyBorder="1" applyAlignment="1">
      <alignment horizontal="right" vertical="center"/>
    </xf>
    <xf numFmtId="3" fontId="41" fillId="0" borderId="1" xfId="0" applyNumberFormat="1" applyFont="1" applyBorder="1" applyAlignment="1"/>
    <xf numFmtId="14" fontId="0" fillId="3" borderId="0" xfId="0" applyNumberFormat="1" applyFill="1" applyBorder="1" applyAlignment="1" applyProtection="1">
      <alignment vertical="center"/>
      <protection locked="0"/>
    </xf>
    <xf numFmtId="14" fontId="0" fillId="3" borderId="0" xfId="0" applyNumberFormat="1" applyFill="1" applyBorder="1" applyAlignment="1" applyProtection="1">
      <protection locked="0"/>
    </xf>
    <xf numFmtId="0" fontId="0" fillId="3" borderId="0" xfId="0" applyFill="1" applyBorder="1" applyAlignment="1" applyProtection="1">
      <protection locked="0"/>
    </xf>
    <xf numFmtId="0" fontId="0" fillId="3" borderId="2" xfId="0" applyFill="1" applyBorder="1" applyAlignment="1" applyProtection="1">
      <protection locked="0"/>
    </xf>
    <xf numFmtId="0" fontId="0" fillId="0" borderId="0" xfId="0" applyBorder="1" applyAlignment="1" applyProtection="1">
      <protection locked="0"/>
    </xf>
    <xf numFmtId="14" fontId="0" fillId="3" borderId="0" xfId="0" applyNumberFormat="1" applyFill="1" applyBorder="1" applyAlignment="1" applyProtection="1">
      <alignment vertical="center"/>
    </xf>
    <xf numFmtId="0" fontId="0" fillId="3" borderId="0" xfId="0" applyFill="1" applyBorder="1" applyAlignment="1" applyProtection="1">
      <alignment vertical="center"/>
    </xf>
    <xf numFmtId="0" fontId="38" fillId="0" borderId="32" xfId="0" applyFont="1" applyBorder="1" applyAlignment="1"/>
    <xf numFmtId="14" fontId="0" fillId="3" borderId="0" xfId="0" applyNumberFormat="1" applyFill="1" applyBorder="1" applyAlignment="1" applyProtection="1"/>
    <xf numFmtId="0" fontId="0" fillId="3" borderId="0" xfId="0" applyFill="1" applyBorder="1" applyAlignment="1" applyProtection="1"/>
    <xf numFmtId="179" fontId="38" fillId="3" borderId="0" xfId="0" applyNumberFormat="1" applyFont="1" applyFill="1" applyBorder="1" applyAlignment="1" applyProtection="1">
      <alignment horizontal="right" vertical="center" shrinkToFit="1"/>
      <protection locked="0"/>
    </xf>
    <xf numFmtId="191" fontId="38" fillId="3" borderId="50" xfId="0" applyNumberFormat="1" applyFont="1" applyFill="1" applyBorder="1" applyAlignment="1" applyProtection="1">
      <alignment horizontal="center"/>
      <protection locked="0"/>
    </xf>
    <xf numFmtId="4" fontId="38" fillId="0" borderId="0" xfId="0" applyNumberFormat="1" applyFont="1" applyBorder="1" applyAlignment="1">
      <alignment horizontal="right"/>
    </xf>
    <xf numFmtId="14" fontId="0" fillId="3" borderId="14" xfId="0" applyNumberFormat="1" applyFill="1" applyBorder="1" applyAlignment="1" applyProtection="1">
      <alignment vertical="center"/>
      <protection locked="0"/>
    </xf>
    <xf numFmtId="0" fontId="0" fillId="3" borderId="14" xfId="0" applyFill="1" applyBorder="1" applyAlignment="1" applyProtection="1">
      <alignment vertical="center"/>
      <protection locked="0"/>
    </xf>
    <xf numFmtId="0" fontId="3" fillId="3" borderId="0" xfId="0" applyFont="1" applyFill="1" applyBorder="1" applyAlignment="1" applyProtection="1">
      <protection locked="0"/>
    </xf>
    <xf numFmtId="0" fontId="0" fillId="4" borderId="1" xfId="0" applyFill="1" applyBorder="1" applyAlignment="1">
      <alignment horizontal="center"/>
    </xf>
    <xf numFmtId="0" fontId="38" fillId="3" borderId="0" xfId="0" applyFont="1" applyFill="1" applyBorder="1" applyAlignment="1" applyProtection="1">
      <alignment horizontal="right" vertical="center" shrinkToFit="1"/>
      <protection locked="0"/>
    </xf>
    <xf numFmtId="0" fontId="0" fillId="0" borderId="37" xfId="0" applyBorder="1" applyAlignment="1"/>
    <xf numFmtId="14" fontId="0" fillId="3" borderId="14" xfId="0" applyNumberFormat="1" applyFill="1" applyBorder="1" applyAlignment="1" applyProtection="1">
      <protection locked="0"/>
    </xf>
    <xf numFmtId="0" fontId="0" fillId="3" borderId="14" xfId="0" applyFill="1" applyBorder="1" applyAlignment="1" applyProtection="1">
      <protection locked="0"/>
    </xf>
    <xf numFmtId="3" fontId="41" fillId="0" borderId="1" xfId="0" applyNumberFormat="1" applyFont="1" applyBorder="1" applyAlignment="1" applyProtection="1">
      <protection locked="0"/>
    </xf>
    <xf numFmtId="3" fontId="41" fillId="4" borderId="1" xfId="0" applyNumberFormat="1" applyFont="1" applyFill="1" applyBorder="1" applyAlignment="1" applyProtection="1">
      <protection locked="0"/>
    </xf>
    <xf numFmtId="0" fontId="7" fillId="0" borderId="0" xfId="0" applyFont="1" applyAlignment="1">
      <alignment horizontal="center"/>
    </xf>
    <xf numFmtId="14" fontId="0" fillId="3" borderId="14" xfId="0" applyNumberFormat="1" applyFill="1" applyBorder="1" applyAlignment="1" applyProtection="1">
      <alignment vertical="center"/>
    </xf>
    <xf numFmtId="0" fontId="0" fillId="3" borderId="14" xfId="0" applyFill="1" applyBorder="1" applyAlignment="1" applyProtection="1">
      <alignment vertical="center"/>
    </xf>
    <xf numFmtId="0" fontId="5" fillId="3" borderId="29" xfId="0" applyFont="1" applyFill="1" applyBorder="1" applyAlignment="1" applyProtection="1">
      <alignment vertical="center"/>
      <protection locked="0"/>
    </xf>
    <xf numFmtId="0" fontId="5" fillId="0" borderId="29" xfId="0" applyFont="1" applyBorder="1" applyAlignment="1" applyProtection="1">
      <alignment vertical="center"/>
      <protection locked="0"/>
    </xf>
    <xf numFmtId="14" fontId="0" fillId="3" borderId="14" xfId="0" applyNumberFormat="1" applyFill="1" applyBorder="1" applyAlignment="1" applyProtection="1"/>
    <xf numFmtId="0" fontId="0" fillId="3" borderId="14" xfId="0" applyFill="1" applyBorder="1" applyAlignment="1" applyProtection="1"/>
    <xf numFmtId="0" fontId="40" fillId="3" borderId="17" xfId="0" applyFont="1" applyFill="1" applyBorder="1" applyAlignment="1"/>
    <xf numFmtId="0" fontId="40" fillId="3" borderId="29" xfId="0" applyFont="1" applyFill="1" applyBorder="1" applyAlignment="1"/>
    <xf numFmtId="0" fontId="40" fillId="3" borderId="37" xfId="0" applyFont="1" applyFill="1" applyBorder="1" applyAlignment="1"/>
    <xf numFmtId="0" fontId="0" fillId="0" borderId="0" xfId="0" applyBorder="1" applyAlignment="1">
      <alignment horizontal="center"/>
    </xf>
    <xf numFmtId="0" fontId="5" fillId="0" borderId="50" xfId="0" applyFont="1" applyBorder="1" applyAlignment="1">
      <alignment horizontal="center"/>
    </xf>
    <xf numFmtId="191" fontId="39" fillId="3" borderId="50" xfId="0" applyNumberFormat="1" applyFont="1" applyFill="1" applyBorder="1" applyAlignment="1" applyProtection="1">
      <alignment horizontal="center"/>
      <protection locked="0"/>
    </xf>
    <xf numFmtId="0" fontId="0" fillId="0" borderId="50" xfId="0" applyBorder="1" applyAlignment="1">
      <alignment horizontal="right"/>
    </xf>
    <xf numFmtId="0" fontId="0" fillId="3" borderId="50" xfId="0" applyFill="1" applyBorder="1" applyAlignment="1" applyProtection="1">
      <alignment horizontal="center"/>
      <protection locked="0"/>
    </xf>
    <xf numFmtId="0" fontId="38" fillId="0" borderId="0" xfId="0" applyFont="1" applyBorder="1" applyAlignment="1" applyProtection="1">
      <protection locked="0"/>
    </xf>
    <xf numFmtId="0" fontId="13" fillId="3" borderId="72" xfId="0" applyFont="1" applyFill="1" applyBorder="1" applyAlignment="1" applyProtection="1">
      <alignment horizontal="center" vertical="center"/>
      <protection locked="0"/>
    </xf>
    <xf numFmtId="0" fontId="7" fillId="3" borderId="73" xfId="0" applyFont="1" applyFill="1" applyBorder="1" applyAlignment="1" applyProtection="1">
      <alignment horizontal="center" vertical="center"/>
      <protection locked="0"/>
    </xf>
    <xf numFmtId="0" fontId="7" fillId="3" borderId="74" xfId="0" applyFont="1" applyFill="1" applyBorder="1" applyAlignment="1" applyProtection="1">
      <alignment horizontal="center" vertical="center"/>
      <protection locked="0"/>
    </xf>
    <xf numFmtId="0" fontId="5" fillId="0" borderId="15" xfId="0" applyFont="1" applyFill="1" applyBorder="1" applyAlignment="1">
      <alignment horizontal="distributed" vertical="center"/>
    </xf>
    <xf numFmtId="0" fontId="5" fillId="0" borderId="16" xfId="0" applyFont="1" applyFill="1" applyBorder="1" applyAlignment="1">
      <alignment horizontal="distributed" vertical="center"/>
    </xf>
    <xf numFmtId="0" fontId="5" fillId="0" borderId="41" xfId="0" applyFont="1" applyFill="1" applyBorder="1" applyAlignment="1">
      <alignment horizontal="distributed" vertical="center"/>
    </xf>
    <xf numFmtId="0" fontId="5" fillId="3" borderId="2" xfId="0" applyFont="1" applyFill="1" applyBorder="1" applyAlignment="1" applyProtection="1">
      <alignment vertical="center"/>
      <protection locked="0"/>
    </xf>
    <xf numFmtId="0" fontId="5" fillId="0" borderId="2" xfId="0" applyFont="1" applyBorder="1" applyAlignment="1" applyProtection="1">
      <alignment vertical="center"/>
      <protection locked="0"/>
    </xf>
    <xf numFmtId="188" fontId="5" fillId="3" borderId="15" xfId="0" applyNumberFormat="1" applyFont="1" applyFill="1" applyBorder="1" applyAlignment="1" applyProtection="1">
      <alignment horizontal="distributed" vertical="center"/>
      <protection locked="0"/>
    </xf>
    <xf numFmtId="188" fontId="5" fillId="3" borderId="16" xfId="0" applyNumberFormat="1" applyFont="1" applyFill="1" applyBorder="1" applyAlignment="1" applyProtection="1">
      <alignment horizontal="distributed" vertical="center"/>
      <protection locked="0"/>
    </xf>
    <xf numFmtId="188" fontId="0" fillId="0" borderId="16" xfId="0" applyNumberFormat="1" applyBorder="1" applyAlignment="1" applyProtection="1">
      <alignment horizontal="distributed" vertical="center"/>
      <protection locked="0"/>
    </xf>
    <xf numFmtId="188" fontId="0" fillId="0" borderId="41" xfId="0" applyNumberFormat="1" applyBorder="1" applyAlignment="1" applyProtection="1">
      <alignment horizontal="distributed" vertical="center"/>
      <protection locked="0"/>
    </xf>
    <xf numFmtId="188" fontId="5" fillId="4" borderId="15" xfId="0" applyNumberFormat="1" applyFont="1" applyFill="1" applyBorder="1" applyAlignment="1" applyProtection="1">
      <alignment horizontal="distributed" vertical="center"/>
      <protection locked="0"/>
    </xf>
    <xf numFmtId="188" fontId="5" fillId="4" borderId="16" xfId="0" applyNumberFormat="1" applyFont="1" applyFill="1" applyBorder="1" applyAlignment="1" applyProtection="1">
      <alignment horizontal="distributed" vertical="center"/>
      <protection locked="0"/>
    </xf>
    <xf numFmtId="188" fontId="0" fillId="4" borderId="16" xfId="0" applyNumberFormat="1" applyFill="1" applyBorder="1" applyAlignment="1" applyProtection="1">
      <alignment horizontal="distributed" vertical="center"/>
      <protection locked="0"/>
    </xf>
    <xf numFmtId="188" fontId="0" fillId="4" borderId="41" xfId="0" applyNumberFormat="1" applyFill="1" applyBorder="1" applyAlignment="1" applyProtection="1">
      <alignment horizontal="distributed" vertical="center"/>
      <protection locked="0"/>
    </xf>
    <xf numFmtId="194" fontId="39" fillId="3" borderId="0" xfId="0" applyNumberFormat="1" applyFont="1" applyFill="1" applyBorder="1" applyAlignment="1" applyProtection="1">
      <alignment horizontal="right" vertical="center" shrinkToFit="1"/>
      <protection locked="0"/>
    </xf>
    <xf numFmtId="0" fontId="40" fillId="0" borderId="29" xfId="0" applyFont="1" applyBorder="1"/>
    <xf numFmtId="0" fontId="40" fillId="0" borderId="37" xfId="0" applyFont="1" applyBorder="1"/>
    <xf numFmtId="185" fontId="39" fillId="0" borderId="0" xfId="0" applyNumberFormat="1" applyFont="1" applyFill="1" applyBorder="1" applyAlignment="1" applyProtection="1">
      <alignment horizontal="right"/>
    </xf>
    <xf numFmtId="179" fontId="39" fillId="3" borderId="0" xfId="0" applyNumberFormat="1" applyFont="1" applyFill="1" applyBorder="1" applyAlignment="1" applyProtection="1">
      <alignment horizontal="right" vertical="center" shrinkToFit="1"/>
      <protection locked="0"/>
    </xf>
    <xf numFmtId="0" fontId="39" fillId="3" borderId="0" xfId="0" applyFont="1" applyFill="1" applyBorder="1" applyAlignment="1" applyProtection="1">
      <alignment horizontal="right" vertical="center" shrinkToFit="1"/>
      <protection locked="0"/>
    </xf>
    <xf numFmtId="4" fontId="39" fillId="0" borderId="0" xfId="0" applyNumberFormat="1" applyFont="1" applyBorder="1" applyAlignment="1">
      <alignment horizontal="right"/>
    </xf>
    <xf numFmtId="180" fontId="39" fillId="0" borderId="0" xfId="0" applyNumberFormat="1" applyFont="1" applyBorder="1" applyAlignment="1">
      <alignment horizontal="right"/>
    </xf>
    <xf numFmtId="0" fontId="39" fillId="0" borderId="0" xfId="0" applyFont="1" applyAlignment="1" applyProtection="1">
      <protection locked="0"/>
    </xf>
    <xf numFmtId="0" fontId="5" fillId="9" borderId="17" xfId="4" applyFont="1" applyFill="1" applyBorder="1" applyAlignment="1">
      <alignment horizontal="left" vertical="center"/>
    </xf>
    <xf numFmtId="0" fontId="5" fillId="0" borderId="37" xfId="0" applyFont="1" applyBorder="1" applyAlignment="1">
      <alignment vertical="center"/>
    </xf>
    <xf numFmtId="0" fontId="5" fillId="4" borderId="17" xfId="0" applyFont="1" applyFill="1" applyBorder="1" applyAlignment="1" applyProtection="1">
      <alignment vertical="center" shrinkToFit="1"/>
      <protection locked="0"/>
    </xf>
    <xf numFmtId="0" fontId="5" fillId="4" borderId="29" xfId="0" applyFont="1" applyFill="1" applyBorder="1" applyAlignment="1" applyProtection="1">
      <alignment vertical="center" shrinkToFit="1"/>
      <protection locked="0"/>
    </xf>
    <xf numFmtId="0" fontId="0" fillId="4" borderId="29" xfId="0" applyFill="1" applyBorder="1" applyAlignment="1" applyProtection="1">
      <alignment vertical="center" shrinkToFit="1"/>
      <protection locked="0"/>
    </xf>
    <xf numFmtId="0" fontId="0" fillId="4" borderId="37" xfId="0" applyFill="1" applyBorder="1" applyAlignment="1" applyProtection="1">
      <alignment vertical="center" shrinkToFit="1"/>
      <protection locked="0"/>
    </xf>
    <xf numFmtId="0" fontId="5" fillId="2" borderId="17" xfId="4" applyFont="1" applyFill="1" applyBorder="1" applyAlignment="1">
      <alignment vertical="center"/>
    </xf>
    <xf numFmtId="14" fontId="5" fillId="4" borderId="17" xfId="4" applyNumberFormat="1" applyFont="1" applyFill="1" applyBorder="1" applyAlignment="1" applyProtection="1">
      <alignment vertical="center"/>
      <protection locked="0"/>
    </xf>
    <xf numFmtId="0" fontId="5" fillId="4" borderId="29" xfId="0" applyFont="1" applyFill="1" applyBorder="1" applyAlignment="1" applyProtection="1">
      <alignment vertical="center"/>
      <protection locked="0"/>
    </xf>
    <xf numFmtId="0" fontId="0" fillId="4" borderId="29" xfId="0" applyFill="1" applyBorder="1" applyAlignment="1" applyProtection="1">
      <alignment vertical="center"/>
      <protection locked="0"/>
    </xf>
    <xf numFmtId="0" fontId="0" fillId="4" borderId="37" xfId="0" applyFill="1" applyBorder="1" applyAlignment="1" applyProtection="1">
      <alignment vertical="center"/>
      <protection locked="0"/>
    </xf>
    <xf numFmtId="0" fontId="5" fillId="4" borderId="17" xfId="4" applyFont="1" applyFill="1" applyBorder="1" applyAlignment="1" applyProtection="1">
      <alignment vertical="center" shrinkToFit="1"/>
      <protection locked="0"/>
    </xf>
    <xf numFmtId="0" fontId="5" fillId="4" borderId="17" xfId="0" applyFont="1" applyFill="1" applyBorder="1" applyAlignment="1" applyProtection="1">
      <alignment vertical="center"/>
      <protection locked="0"/>
    </xf>
    <xf numFmtId="190" fontId="38" fillId="0" borderId="2" xfId="0" applyNumberFormat="1" applyFont="1" applyBorder="1" applyAlignment="1"/>
    <xf numFmtId="0" fontId="5" fillId="9" borderId="51" xfId="4" applyFont="1" applyFill="1" applyBorder="1" applyAlignment="1">
      <alignment horizontal="left" vertical="center"/>
    </xf>
    <xf numFmtId="0" fontId="5" fillId="0" borderId="14" xfId="0" applyFont="1" applyBorder="1" applyAlignment="1">
      <alignment vertical="center"/>
    </xf>
    <xf numFmtId="0" fontId="5" fillId="0" borderId="52"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xf>
    <xf numFmtId="0" fontId="5" fillId="0" borderId="30" xfId="0" applyFont="1" applyBorder="1" applyAlignment="1">
      <alignment vertical="center"/>
    </xf>
    <xf numFmtId="0" fontId="5" fillId="0" borderId="31" xfId="0" applyFont="1" applyBorder="1" applyAlignment="1">
      <alignment vertical="center"/>
    </xf>
    <xf numFmtId="0" fontId="5" fillId="0" borderId="32" xfId="0" applyFont="1" applyBorder="1" applyAlignment="1">
      <alignment vertical="center"/>
    </xf>
    <xf numFmtId="0" fontId="19" fillId="7" borderId="1" xfId="0" applyFont="1" applyFill="1" applyBorder="1" applyAlignment="1">
      <alignment horizontal="center" vertical="center" shrinkToFit="1"/>
    </xf>
    <xf numFmtId="0" fontId="11" fillId="4" borderId="1" xfId="1" applyNumberFormat="1" applyFont="1" applyFill="1" applyBorder="1" applyAlignment="1" applyProtection="1">
      <alignment horizontal="center" vertical="center" shrinkToFit="1"/>
      <protection locked="0"/>
    </xf>
    <xf numFmtId="0" fontId="19" fillId="7" borderId="17" xfId="0" applyFont="1" applyFill="1" applyBorder="1" applyAlignment="1">
      <alignment horizontal="center" vertical="center" shrinkToFit="1"/>
    </xf>
    <xf numFmtId="0" fontId="0" fillId="0" borderId="2" xfId="0" applyBorder="1" applyAlignment="1"/>
    <xf numFmtId="0" fontId="19" fillId="4" borderId="1" xfId="0" applyFont="1" applyFill="1" applyBorder="1" applyAlignment="1" applyProtection="1">
      <alignment vertical="center" shrinkToFit="1"/>
      <protection locked="0"/>
    </xf>
    <xf numFmtId="0" fontId="0" fillId="0" borderId="1" xfId="0" applyBorder="1" applyAlignment="1" applyProtection="1">
      <protection locked="0"/>
    </xf>
    <xf numFmtId="0" fontId="19" fillId="0" borderId="1" xfId="0" applyFont="1" applyFill="1" applyBorder="1" applyAlignment="1">
      <alignment vertical="center" shrinkToFit="1"/>
    </xf>
    <xf numFmtId="0" fontId="0" fillId="0" borderId="1" xfId="0" applyBorder="1" applyAlignment="1"/>
    <xf numFmtId="0" fontId="19" fillId="8" borderId="1" xfId="0" applyFont="1" applyFill="1" applyBorder="1" applyAlignment="1">
      <alignment vertical="center" shrinkToFit="1"/>
    </xf>
    <xf numFmtId="0" fontId="19" fillId="7" borderId="1" xfId="0" applyFont="1" applyFill="1" applyBorder="1" applyAlignment="1">
      <alignment vertical="center" shrinkToFit="1"/>
    </xf>
    <xf numFmtId="0" fontId="19" fillId="4" borderId="51" xfId="0" applyFont="1" applyFill="1" applyBorder="1" applyAlignment="1" applyProtection="1">
      <alignment vertical="top" wrapText="1"/>
      <protection locked="0"/>
    </xf>
    <xf numFmtId="0" fontId="19" fillId="4" borderId="14" xfId="0" applyFont="1" applyFill="1" applyBorder="1" applyAlignment="1" applyProtection="1">
      <alignment vertical="top" wrapText="1"/>
      <protection locked="0"/>
    </xf>
    <xf numFmtId="0" fontId="0" fillId="0" borderId="14" xfId="0" applyBorder="1" applyAlignment="1" applyProtection="1">
      <alignment wrapText="1"/>
      <protection locked="0"/>
    </xf>
    <xf numFmtId="0" fontId="0" fillId="0" borderId="52" xfId="0" applyBorder="1" applyAlignment="1" applyProtection="1">
      <alignment wrapText="1"/>
      <protection locked="0"/>
    </xf>
    <xf numFmtId="0" fontId="19" fillId="4" borderId="21" xfId="0" applyFont="1" applyFill="1" applyBorder="1" applyAlignment="1" applyProtection="1">
      <alignment vertical="top" wrapText="1"/>
      <protection locked="0"/>
    </xf>
    <xf numFmtId="0" fontId="19" fillId="4" borderId="0" xfId="0" applyFont="1" applyFill="1" applyBorder="1" applyAlignment="1" applyProtection="1">
      <alignment vertical="top" wrapText="1"/>
      <protection locked="0"/>
    </xf>
    <xf numFmtId="0" fontId="0" fillId="0" borderId="0" xfId="0" applyBorder="1" applyAlignment="1" applyProtection="1">
      <alignment wrapText="1"/>
      <protection locked="0"/>
    </xf>
    <xf numFmtId="0" fontId="0" fillId="0" borderId="30" xfId="0" applyBorder="1" applyAlignment="1" applyProtection="1">
      <alignment wrapText="1"/>
      <protection locked="0"/>
    </xf>
    <xf numFmtId="0" fontId="19" fillId="4" borderId="31" xfId="0" applyFont="1" applyFill="1" applyBorder="1" applyAlignment="1" applyProtection="1">
      <alignment vertical="top" wrapText="1"/>
      <protection locked="0"/>
    </xf>
    <xf numFmtId="0" fontId="19" fillId="4" borderId="2" xfId="0" applyFont="1" applyFill="1" applyBorder="1" applyAlignment="1" applyProtection="1">
      <alignment vertical="top" wrapText="1"/>
      <protection locked="0"/>
    </xf>
    <xf numFmtId="0" fontId="0" fillId="0" borderId="2" xfId="0" applyBorder="1" applyAlignment="1" applyProtection="1">
      <alignment wrapText="1"/>
      <protection locked="0"/>
    </xf>
    <xf numFmtId="0" fontId="0" fillId="0" borderId="32" xfId="0" applyBorder="1" applyAlignment="1" applyProtection="1">
      <alignment wrapText="1"/>
      <protection locked="0"/>
    </xf>
    <xf numFmtId="0" fontId="11" fillId="4" borderId="1" xfId="1" applyNumberFormat="1" applyFont="1" applyFill="1" applyBorder="1" applyAlignment="1" applyProtection="1">
      <alignment vertical="center" shrinkToFit="1"/>
      <protection locked="0"/>
    </xf>
    <xf numFmtId="0" fontId="12" fillId="0" borderId="1" xfId="1" applyFill="1" applyBorder="1" applyAlignment="1" applyProtection="1">
      <alignment vertical="center" shrinkToFit="1"/>
    </xf>
    <xf numFmtId="0" fontId="20" fillId="0" borderId="1" xfId="0" applyFont="1" applyFill="1" applyBorder="1" applyAlignment="1">
      <alignment vertical="center" shrinkToFit="1"/>
    </xf>
    <xf numFmtId="14" fontId="0" fillId="3" borderId="2" xfId="0" applyNumberFormat="1" applyFill="1" applyBorder="1" applyAlignment="1" applyProtection="1">
      <protection locked="0"/>
    </xf>
    <xf numFmtId="0" fontId="0" fillId="4" borderId="1" xfId="0" applyFill="1" applyBorder="1" applyAlignment="1" applyProtection="1">
      <alignment horizontal="center"/>
      <protection locked="0"/>
    </xf>
    <xf numFmtId="190" fontId="39" fillId="0" borderId="2" xfId="0" applyNumberFormat="1" applyFont="1" applyBorder="1" applyAlignment="1"/>
    <xf numFmtId="14" fontId="0" fillId="3" borderId="2" xfId="0" applyNumberFormat="1" applyFill="1" applyBorder="1" applyAlignment="1" applyProtection="1">
      <alignment vertical="center"/>
    </xf>
    <xf numFmtId="0" fontId="0" fillId="3" borderId="2" xfId="0" applyFill="1" applyBorder="1" applyAlignment="1" applyProtection="1">
      <alignment vertical="center"/>
    </xf>
    <xf numFmtId="14" fontId="0" fillId="3" borderId="2" xfId="0" applyNumberFormat="1" applyFill="1" applyBorder="1" applyAlignment="1" applyProtection="1"/>
    <xf numFmtId="0" fontId="0" fillId="3" borderId="2" xfId="0" applyFill="1" applyBorder="1" applyAlignment="1" applyProtection="1"/>
    <xf numFmtId="14" fontId="0" fillId="3" borderId="2" xfId="0" applyNumberFormat="1" applyFill="1" applyBorder="1" applyAlignment="1" applyProtection="1">
      <alignment vertical="center"/>
      <protection locked="0"/>
    </xf>
    <xf numFmtId="5" fontId="5" fillId="4" borderId="17" xfId="0" applyNumberFormat="1" applyFont="1" applyFill="1" applyBorder="1" applyAlignment="1" applyProtection="1">
      <alignment vertical="center" shrinkToFit="1"/>
      <protection locked="0"/>
    </xf>
    <xf numFmtId="5" fontId="5" fillId="4" borderId="29" xfId="0" applyNumberFormat="1" applyFont="1" applyFill="1" applyBorder="1" applyAlignment="1" applyProtection="1">
      <alignment vertical="center" shrinkToFit="1"/>
      <protection locked="0"/>
    </xf>
    <xf numFmtId="5" fontId="0" fillId="4" borderId="29" xfId="0" applyNumberFormat="1" applyFill="1" applyBorder="1" applyAlignment="1" applyProtection="1">
      <alignment vertical="center" shrinkToFit="1"/>
      <protection locked="0"/>
    </xf>
    <xf numFmtId="5" fontId="0" fillId="4" borderId="37" xfId="0" applyNumberFormat="1" applyFill="1" applyBorder="1" applyAlignment="1" applyProtection="1">
      <alignment vertical="center" shrinkToFit="1"/>
      <protection locked="0"/>
    </xf>
  </cellXfs>
  <cellStyles count="7">
    <cellStyle name="ハイパーリンク" xfId="1" builtinId="8"/>
    <cellStyle name="桁区切り" xfId="2" builtinId="6"/>
    <cellStyle name="桁区切り 2" xfId="3"/>
    <cellStyle name="標準" xfId="0" builtinId="0"/>
    <cellStyle name="標準_DC431DC2C107y" xfId="4"/>
    <cellStyle name="標準_IRAISOA" xfId="5"/>
    <cellStyle name="標準_外注付託依頼書" xfId="6"/>
  </cellStyles>
  <dxfs count="0"/>
  <tableStyles count="0" defaultTableStyle="TableStyleMedium9" defaultPivotStyle="PivotStyleLight16"/>
  <colors>
    <mruColors>
      <color rgb="FFFFFF99"/>
      <color rgb="FFCCEC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50-EC42-11CE-9E0D-00AA006002F3}" ax:persistence="persistStreamInit" r:id="rId1"/>
</file>

<file path=xl/activeX/activeX20.xml><?xml version="1.0" encoding="utf-8"?>
<ax:ocx xmlns:ax="http://schemas.microsoft.com/office/2006/activeX" xmlns:r="http://schemas.openxmlformats.org/officeDocument/2006/relationships" ax:classid="{8BD21D50-EC42-11CE-9E0D-00AA006002F3}"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8BD21D30-EC42-11CE-9E0D-00AA006002F3}"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8BD21D30-EC42-11CE-9E0D-00AA006002F3}" ax:persistence="persistStreamInit" r:id="rId1"/>
</file>

<file path=xl/activeX/activeX35.xml><?xml version="1.0" encoding="utf-8"?>
<ax:ocx xmlns:ax="http://schemas.microsoft.com/office/2006/activeX" xmlns:r="http://schemas.openxmlformats.org/officeDocument/2006/relationships" ax:classid="{8BD21D30-EC42-11CE-9E0D-00AA006002F3}"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8BD21D10-EC42-11CE-9E0D-00AA006002F3}" ax:persistence="persistStreamInit" r:id="rId1"/>
</file>

<file path=xl/activeX/activeX41.xml><?xml version="1.0" encoding="utf-8"?>
<ax:ocx xmlns:ax="http://schemas.microsoft.com/office/2006/activeX" xmlns:r="http://schemas.openxmlformats.org/officeDocument/2006/relationships" ax:classid="{D7053240-CE69-11CD-A777-00DD01143C57}" ax:persistence="persistStreamInit" r:id="rId1"/>
</file>

<file path=xl/activeX/activeX42.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1" Type="http://schemas.openxmlformats.org/officeDocument/2006/relationships/image" Target="../media/image23.png"/></Relationships>
</file>

<file path=xl/drawings/_rels/vmlDrawing4.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18" Type="http://schemas.openxmlformats.org/officeDocument/2006/relationships/image" Target="../media/image18.emf"/><Relationship Id="rId3" Type="http://schemas.openxmlformats.org/officeDocument/2006/relationships/image" Target="../media/image3.emf"/><Relationship Id="rId21" Type="http://schemas.openxmlformats.org/officeDocument/2006/relationships/image" Target="../media/image21.emf"/><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emf"/><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5" Type="http://schemas.openxmlformats.org/officeDocument/2006/relationships/image" Target="../media/image15.emf"/><Relationship Id="rId10" Type="http://schemas.openxmlformats.org/officeDocument/2006/relationships/image" Target="../media/image10.emf"/><Relationship Id="rId19" Type="http://schemas.openxmlformats.org/officeDocument/2006/relationships/image" Target="../media/image19.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s>
</file>

<file path=xl/drawings/_rels/vmlDrawing5.vml.rels><?xml version="1.0" encoding="UTF-8" standalone="yes"?>
<Relationships xmlns="http://schemas.openxmlformats.org/package/2006/relationships"><Relationship Id="rId8" Type="http://schemas.openxmlformats.org/officeDocument/2006/relationships/image" Target="../media/image31.emf"/><Relationship Id="rId13" Type="http://schemas.openxmlformats.org/officeDocument/2006/relationships/image" Target="../media/image36.emf"/><Relationship Id="rId18" Type="http://schemas.openxmlformats.org/officeDocument/2006/relationships/image" Target="../media/image41.emf"/><Relationship Id="rId3" Type="http://schemas.openxmlformats.org/officeDocument/2006/relationships/image" Target="../media/image26.emf"/><Relationship Id="rId7" Type="http://schemas.openxmlformats.org/officeDocument/2006/relationships/image" Target="../media/image30.emf"/><Relationship Id="rId12" Type="http://schemas.openxmlformats.org/officeDocument/2006/relationships/image" Target="../media/image35.emf"/><Relationship Id="rId17" Type="http://schemas.openxmlformats.org/officeDocument/2006/relationships/image" Target="../media/image40.emf"/><Relationship Id="rId2" Type="http://schemas.openxmlformats.org/officeDocument/2006/relationships/image" Target="../media/image25.emf"/><Relationship Id="rId16" Type="http://schemas.openxmlformats.org/officeDocument/2006/relationships/image" Target="../media/image39.emf"/><Relationship Id="rId1" Type="http://schemas.openxmlformats.org/officeDocument/2006/relationships/image" Target="../media/image24.emf"/><Relationship Id="rId6" Type="http://schemas.openxmlformats.org/officeDocument/2006/relationships/image" Target="../media/image29.emf"/><Relationship Id="rId11" Type="http://schemas.openxmlformats.org/officeDocument/2006/relationships/image" Target="../media/image34.emf"/><Relationship Id="rId5" Type="http://schemas.openxmlformats.org/officeDocument/2006/relationships/image" Target="../media/image28.emf"/><Relationship Id="rId15" Type="http://schemas.openxmlformats.org/officeDocument/2006/relationships/image" Target="../media/image38.emf"/><Relationship Id="rId10" Type="http://schemas.openxmlformats.org/officeDocument/2006/relationships/image" Target="../media/image33.emf"/><Relationship Id="rId19" Type="http://schemas.openxmlformats.org/officeDocument/2006/relationships/image" Target="../media/image42.emf"/><Relationship Id="rId4" Type="http://schemas.openxmlformats.org/officeDocument/2006/relationships/image" Target="../media/image27.emf"/><Relationship Id="rId9" Type="http://schemas.openxmlformats.org/officeDocument/2006/relationships/image" Target="../media/image32.emf"/><Relationship Id="rId14" Type="http://schemas.openxmlformats.org/officeDocument/2006/relationships/image" Target="../media/image37.emf"/></Relationships>
</file>

<file path=xl/drawings/drawing1.xml><?xml version="1.0" encoding="utf-8"?>
<xdr:wsDr xmlns:xdr="http://schemas.openxmlformats.org/drawingml/2006/spreadsheetDrawing" xmlns:a="http://schemas.openxmlformats.org/drawingml/2006/main">
  <xdr:twoCellAnchor>
    <xdr:from>
      <xdr:col>29</xdr:col>
      <xdr:colOff>66675</xdr:colOff>
      <xdr:row>14</xdr:row>
      <xdr:rowOff>104775</xdr:rowOff>
    </xdr:from>
    <xdr:to>
      <xdr:col>34</xdr:col>
      <xdr:colOff>504825</xdr:colOff>
      <xdr:row>18</xdr:row>
      <xdr:rowOff>19050</xdr:rowOff>
    </xdr:to>
    <xdr:grpSp>
      <xdr:nvGrpSpPr>
        <xdr:cNvPr id="118602" name="Group 659"/>
        <xdr:cNvGrpSpPr>
          <a:grpSpLocks/>
        </xdr:cNvGrpSpPr>
      </xdr:nvGrpSpPr>
      <xdr:grpSpPr bwMode="auto">
        <a:xfrm>
          <a:off x="9267825" y="3019425"/>
          <a:ext cx="3009900" cy="676275"/>
          <a:chOff x="93" y="311"/>
          <a:chExt cx="256" cy="59"/>
        </a:xfrm>
      </xdr:grpSpPr>
      <xdr:sp macro="" textlink="">
        <xdr:nvSpPr>
          <xdr:cNvPr id="118615" name="Rectangle 660"/>
          <xdr:cNvSpPr>
            <a:spLocks noChangeArrowheads="1"/>
          </xdr:cNvSpPr>
        </xdr:nvSpPr>
        <xdr:spPr bwMode="auto">
          <a:xfrm>
            <a:off x="93" y="311"/>
            <a:ext cx="64" cy="59"/>
          </a:xfrm>
          <a:prstGeom prst="rect">
            <a:avLst/>
          </a:prstGeom>
          <a:solidFill>
            <a:srgbClr val="FFFFFF"/>
          </a:solidFill>
          <a:ln w="9525">
            <a:solidFill>
              <a:srgbClr val="000000"/>
            </a:solidFill>
            <a:miter lim="800000"/>
            <a:headEnd/>
            <a:tailEnd/>
          </a:ln>
        </xdr:spPr>
      </xdr:sp>
      <xdr:sp macro="" textlink="">
        <xdr:nvSpPr>
          <xdr:cNvPr id="118616" name="Rectangle 661"/>
          <xdr:cNvSpPr>
            <a:spLocks noChangeArrowheads="1"/>
          </xdr:cNvSpPr>
        </xdr:nvSpPr>
        <xdr:spPr bwMode="auto">
          <a:xfrm>
            <a:off x="157" y="311"/>
            <a:ext cx="64" cy="59"/>
          </a:xfrm>
          <a:prstGeom prst="rect">
            <a:avLst/>
          </a:prstGeom>
          <a:solidFill>
            <a:srgbClr val="FFFFFF"/>
          </a:solidFill>
          <a:ln w="9525">
            <a:solidFill>
              <a:srgbClr val="000000"/>
            </a:solidFill>
            <a:miter lim="800000"/>
            <a:headEnd/>
            <a:tailEnd/>
          </a:ln>
        </xdr:spPr>
      </xdr:sp>
      <xdr:sp macro="" textlink="">
        <xdr:nvSpPr>
          <xdr:cNvPr id="118617" name="Rectangle 662"/>
          <xdr:cNvSpPr>
            <a:spLocks noChangeArrowheads="1"/>
          </xdr:cNvSpPr>
        </xdr:nvSpPr>
        <xdr:spPr bwMode="auto">
          <a:xfrm>
            <a:off x="285" y="311"/>
            <a:ext cx="64" cy="59"/>
          </a:xfrm>
          <a:prstGeom prst="rect">
            <a:avLst/>
          </a:prstGeom>
          <a:solidFill>
            <a:srgbClr val="FFFFFF"/>
          </a:solidFill>
          <a:ln w="9525">
            <a:solidFill>
              <a:srgbClr val="000000"/>
            </a:solidFill>
            <a:miter lim="800000"/>
            <a:headEnd/>
            <a:tailEnd/>
          </a:ln>
        </xdr:spPr>
      </xdr:sp>
      <xdr:sp macro="" textlink="">
        <xdr:nvSpPr>
          <xdr:cNvPr id="118618" name="Rectangle 663"/>
          <xdr:cNvSpPr>
            <a:spLocks noChangeArrowheads="1"/>
          </xdr:cNvSpPr>
        </xdr:nvSpPr>
        <xdr:spPr bwMode="auto">
          <a:xfrm>
            <a:off x="221" y="311"/>
            <a:ext cx="64" cy="59"/>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14</xdr:row>
      <xdr:rowOff>8580</xdr:rowOff>
    </xdr:from>
    <xdr:to>
      <xdr:col>12</xdr:col>
      <xdr:colOff>3924</xdr:colOff>
      <xdr:row>17</xdr:row>
      <xdr:rowOff>114300</xdr:rowOff>
    </xdr:to>
    <xdr:grpSp>
      <xdr:nvGrpSpPr>
        <xdr:cNvPr id="118601" name="Group 12"/>
        <xdr:cNvGrpSpPr>
          <a:grpSpLocks/>
        </xdr:cNvGrpSpPr>
      </xdr:nvGrpSpPr>
      <xdr:grpSpPr bwMode="auto">
        <a:xfrm>
          <a:off x="466725" y="2923230"/>
          <a:ext cx="2728074" cy="677220"/>
          <a:chOff x="93" y="311"/>
          <a:chExt cx="256" cy="59"/>
        </a:xfrm>
      </xdr:grpSpPr>
      <xdr:sp macro="" textlink="">
        <xdr:nvSpPr>
          <xdr:cNvPr id="118619" name="Rectangle 8"/>
          <xdr:cNvSpPr>
            <a:spLocks noChangeArrowheads="1"/>
          </xdr:cNvSpPr>
        </xdr:nvSpPr>
        <xdr:spPr bwMode="auto">
          <a:xfrm>
            <a:off x="93" y="311"/>
            <a:ext cx="64" cy="59"/>
          </a:xfrm>
          <a:prstGeom prst="rect">
            <a:avLst/>
          </a:prstGeom>
          <a:solidFill>
            <a:srgbClr val="FFFFFF"/>
          </a:solidFill>
          <a:ln w="9525">
            <a:solidFill>
              <a:srgbClr val="000000"/>
            </a:solidFill>
            <a:miter lim="800000"/>
            <a:headEnd/>
            <a:tailEnd/>
          </a:ln>
        </xdr:spPr>
      </xdr:sp>
      <xdr:sp macro="" textlink="">
        <xdr:nvSpPr>
          <xdr:cNvPr id="118620" name="Rectangle 9"/>
          <xdr:cNvSpPr>
            <a:spLocks noChangeArrowheads="1"/>
          </xdr:cNvSpPr>
        </xdr:nvSpPr>
        <xdr:spPr bwMode="auto">
          <a:xfrm>
            <a:off x="157" y="311"/>
            <a:ext cx="64" cy="59"/>
          </a:xfrm>
          <a:prstGeom prst="rect">
            <a:avLst/>
          </a:prstGeom>
          <a:solidFill>
            <a:srgbClr val="FFFFFF"/>
          </a:solidFill>
          <a:ln w="9525">
            <a:solidFill>
              <a:srgbClr val="000000"/>
            </a:solidFill>
            <a:miter lim="800000"/>
            <a:headEnd/>
            <a:tailEnd/>
          </a:ln>
        </xdr:spPr>
      </xdr:sp>
      <xdr:sp macro="" textlink="">
        <xdr:nvSpPr>
          <xdr:cNvPr id="118621" name="Rectangle 10"/>
          <xdr:cNvSpPr>
            <a:spLocks noChangeArrowheads="1"/>
          </xdr:cNvSpPr>
        </xdr:nvSpPr>
        <xdr:spPr bwMode="auto">
          <a:xfrm>
            <a:off x="285" y="311"/>
            <a:ext cx="64" cy="59"/>
          </a:xfrm>
          <a:prstGeom prst="rect">
            <a:avLst/>
          </a:prstGeom>
          <a:solidFill>
            <a:srgbClr val="FFFFFF"/>
          </a:solidFill>
          <a:ln w="9525">
            <a:solidFill>
              <a:srgbClr val="000000"/>
            </a:solidFill>
            <a:miter lim="800000"/>
            <a:headEnd/>
            <a:tailEnd/>
          </a:ln>
        </xdr:spPr>
      </xdr:sp>
      <xdr:sp macro="" textlink="">
        <xdr:nvSpPr>
          <xdr:cNvPr id="118622" name="Rectangle 11"/>
          <xdr:cNvSpPr>
            <a:spLocks noChangeArrowheads="1"/>
          </xdr:cNvSpPr>
        </xdr:nvSpPr>
        <xdr:spPr bwMode="auto">
          <a:xfrm>
            <a:off x="221" y="311"/>
            <a:ext cx="64" cy="59"/>
          </a:xfrm>
          <a:prstGeom prst="rect">
            <a:avLst/>
          </a:prstGeom>
          <a:solidFill>
            <a:srgbClr val="FFFFFF"/>
          </a:solidFill>
          <a:ln w="9525">
            <a:solidFill>
              <a:srgbClr val="000000"/>
            </a:solidFill>
            <a:miter lim="800000"/>
            <a:headEnd/>
            <a:tailEn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28575</xdr:colOff>
      <xdr:row>44</xdr:row>
      <xdr:rowOff>0</xdr:rowOff>
    </xdr:from>
    <xdr:to>
      <xdr:col>6</xdr:col>
      <xdr:colOff>66675</xdr:colOff>
      <xdr:row>44</xdr:row>
      <xdr:rowOff>0</xdr:rowOff>
    </xdr:to>
    <xdr:sp macro="" textlink="">
      <xdr:nvSpPr>
        <xdr:cNvPr id="101377" name="Text Box 1"/>
        <xdr:cNvSpPr txBox="1">
          <a:spLocks noChangeArrowheads="1"/>
        </xdr:cNvSpPr>
      </xdr:nvSpPr>
      <xdr:spPr bwMode="auto">
        <a:xfrm>
          <a:off x="885825" y="7543800"/>
          <a:ext cx="20955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000000"/>
              </a:solidFill>
              <a:latin typeface="ＭＳ Ｐゴシック"/>
              <a:ea typeface="ＭＳ Ｐゴシック"/>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38</xdr:row>
      <xdr:rowOff>47625</xdr:rowOff>
    </xdr:from>
    <xdr:to>
      <xdr:col>31</xdr:col>
      <xdr:colOff>219075</xdr:colOff>
      <xdr:row>53</xdr:row>
      <xdr:rowOff>133350</xdr:rowOff>
    </xdr:to>
    <xdr:pic>
      <xdr:nvPicPr>
        <xdr:cNvPr id="118820" name="Picture 1" descr="仮移転先"/>
        <xdr:cNvPicPr>
          <a:picLocks noChangeAspect="1" noChangeArrowheads="1"/>
        </xdr:cNvPicPr>
      </xdr:nvPicPr>
      <xdr:blipFill>
        <a:blip xmlns:r="http://schemas.openxmlformats.org/officeDocument/2006/relationships" r:embed="rId1" cstate="print"/>
        <a:srcRect/>
        <a:stretch>
          <a:fillRect/>
        </a:stretch>
      </xdr:blipFill>
      <xdr:spPr bwMode="auto">
        <a:xfrm>
          <a:off x="1704975" y="6829425"/>
          <a:ext cx="3876675" cy="28860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5</xdr:row>
      <xdr:rowOff>28575</xdr:rowOff>
    </xdr:from>
    <xdr:to>
      <xdr:col>17</xdr:col>
      <xdr:colOff>276225</xdr:colOff>
      <xdr:row>11</xdr:row>
      <xdr:rowOff>66675</xdr:rowOff>
    </xdr:to>
    <xdr:grpSp>
      <xdr:nvGrpSpPr>
        <xdr:cNvPr id="117729" name="Group 201"/>
        <xdr:cNvGrpSpPr>
          <a:grpSpLocks/>
        </xdr:cNvGrpSpPr>
      </xdr:nvGrpSpPr>
      <xdr:grpSpPr bwMode="auto">
        <a:xfrm>
          <a:off x="228600" y="942975"/>
          <a:ext cx="4857750" cy="1352550"/>
          <a:chOff x="50" y="137"/>
          <a:chExt cx="508" cy="157"/>
        </a:xfrm>
      </xdr:grpSpPr>
      <xdr:sp macro="" textlink="">
        <xdr:nvSpPr>
          <xdr:cNvPr id="37066" name="TemplateShape2"/>
          <xdr:cNvSpPr>
            <a:spLocks noChangeArrowheads="1"/>
          </xdr:cNvSpPr>
        </xdr:nvSpPr>
        <xdr:spPr bwMode="auto">
          <a:xfrm>
            <a:off x="50" y="180"/>
            <a:ext cx="99" cy="113"/>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ゴシック"/>
                <a:ea typeface="ＭＳ Ｐゴシック"/>
              </a:rPr>
              <a:t>決裁</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報告</a:t>
            </a:r>
          </a:p>
        </xdr:txBody>
      </xdr:sp>
      <xdr:sp macro="" textlink="">
        <xdr:nvSpPr>
          <xdr:cNvPr id="37067" name="Rectangle 203"/>
          <xdr:cNvSpPr>
            <a:spLocks noChangeArrowheads="1"/>
          </xdr:cNvSpPr>
        </xdr:nvSpPr>
        <xdr:spPr bwMode="auto">
          <a:xfrm>
            <a:off x="265" y="181"/>
            <a:ext cx="106" cy="112"/>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ゴシック"/>
                <a:ea typeface="ＭＳ Ｐゴシック"/>
              </a:rPr>
              <a:t>決裁</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報告</a:t>
            </a:r>
            <a:endParaRPr lang="en-US" altLang="ja-JP" sz="800" b="0" i="0" u="none" strike="noStrike" baseline="0">
              <a:solidFill>
                <a:srgbClr val="000000"/>
              </a:solidFill>
              <a:latin typeface="ＭＳ Ｐゴシック"/>
              <a:ea typeface="ＭＳ Ｐゴシック"/>
            </a:endParaRPr>
          </a:p>
          <a:p>
            <a:pPr algn="ctr" rtl="0">
              <a:defRPr sz="1000"/>
            </a:pPr>
            <a:r>
              <a:rPr lang="ja-JP" altLang="en-US" sz="800" b="0" i="0" u="none" strike="noStrike" baseline="0">
                <a:solidFill>
                  <a:srgbClr val="000000"/>
                </a:solidFill>
                <a:latin typeface="ＭＳ Ｐゴシック"/>
                <a:ea typeface="ＭＳ Ｐゴシック"/>
              </a:rPr>
              <a:t>回議</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合議</a:t>
            </a:r>
          </a:p>
        </xdr:txBody>
      </xdr:sp>
      <xdr:sp macro="" textlink="">
        <xdr:nvSpPr>
          <xdr:cNvPr id="37069" name="Rectangle 205"/>
          <xdr:cNvSpPr>
            <a:spLocks noChangeArrowheads="1"/>
          </xdr:cNvSpPr>
        </xdr:nvSpPr>
        <xdr:spPr bwMode="auto">
          <a:xfrm>
            <a:off x="371" y="181"/>
            <a:ext cx="119" cy="112"/>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ゴシック"/>
                <a:ea typeface="ＭＳ Ｐゴシック"/>
              </a:rPr>
              <a:t>決裁</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報告</a:t>
            </a:r>
            <a:endParaRPr lang="en-US" altLang="ja-JP" sz="800" b="0" i="0" u="none" strike="noStrike" baseline="0">
              <a:solidFill>
                <a:srgbClr val="000000"/>
              </a:solidFill>
              <a:latin typeface="ＭＳ Ｐゴシック"/>
              <a:ea typeface="ＭＳ Ｐゴシック"/>
            </a:endParaRPr>
          </a:p>
          <a:p>
            <a:pPr algn="ctr" rtl="0">
              <a:defRPr sz="1000"/>
            </a:pPr>
            <a:r>
              <a:rPr lang="ja-JP" altLang="en-US" sz="800" b="0" i="0" u="none" strike="noStrike" baseline="0">
                <a:solidFill>
                  <a:srgbClr val="000000"/>
                </a:solidFill>
                <a:latin typeface="ＭＳ Ｐゴシック"/>
                <a:ea typeface="ＭＳ Ｐゴシック"/>
              </a:rPr>
              <a:t>稟議</a:t>
            </a:r>
          </a:p>
        </xdr:txBody>
      </xdr:sp>
      <xdr:sp macro="" textlink="">
        <xdr:nvSpPr>
          <xdr:cNvPr id="37070" name="TemplateShape1"/>
          <xdr:cNvSpPr>
            <a:spLocks noChangeArrowheads="1"/>
          </xdr:cNvSpPr>
        </xdr:nvSpPr>
        <xdr:spPr bwMode="auto">
          <a:xfrm>
            <a:off x="50" y="137"/>
            <a:ext cx="99" cy="44"/>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事業本部長</a:t>
            </a:r>
          </a:p>
        </xdr:txBody>
      </xdr:sp>
      <xdr:sp macro="" textlink="">
        <xdr:nvSpPr>
          <xdr:cNvPr id="37071" name="Rectangle 207"/>
          <xdr:cNvSpPr>
            <a:spLocks noChangeArrowheads="1"/>
          </xdr:cNvSpPr>
        </xdr:nvSpPr>
        <xdr:spPr bwMode="auto">
          <a:xfrm>
            <a:off x="265" y="137"/>
            <a:ext cx="106" cy="44"/>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後藤副事業</a:t>
            </a:r>
            <a:endParaRPr lang="en-US" altLang="ja-JP" sz="800" b="0" i="0" u="none" strike="noStrike" baseline="0">
              <a:solidFill>
                <a:srgbClr val="000000"/>
              </a:solidFill>
              <a:latin typeface="ＭＳ Ｐゴシック"/>
              <a:ea typeface="ＭＳ Ｐゴシック"/>
            </a:endParaRPr>
          </a:p>
          <a:p>
            <a:pPr algn="ctr" rtl="0">
              <a:defRPr sz="1000"/>
            </a:pPr>
            <a:r>
              <a:rPr lang="ja-JP" altLang="en-US" sz="800" b="0" i="0" u="none" strike="noStrike" baseline="0">
                <a:solidFill>
                  <a:srgbClr val="000000"/>
                </a:solidFill>
                <a:latin typeface="ＭＳ Ｐゴシック"/>
                <a:ea typeface="ＭＳ Ｐゴシック"/>
              </a:rPr>
              <a:t>本部長</a:t>
            </a:r>
          </a:p>
        </xdr:txBody>
      </xdr:sp>
      <xdr:sp macro="" textlink="">
        <xdr:nvSpPr>
          <xdr:cNvPr id="37073" name="Rectangle 209"/>
          <xdr:cNvSpPr>
            <a:spLocks noChangeArrowheads="1"/>
          </xdr:cNvSpPr>
        </xdr:nvSpPr>
        <xdr:spPr bwMode="auto">
          <a:xfrm>
            <a:off x="371" y="137"/>
            <a:ext cx="119" cy="44"/>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事業部長</a:t>
            </a:r>
          </a:p>
        </xdr:txBody>
      </xdr:sp>
      <xdr:sp macro="" textlink="">
        <xdr:nvSpPr>
          <xdr:cNvPr id="37074" name="Rectangle 210"/>
          <xdr:cNvSpPr>
            <a:spLocks noChangeArrowheads="1"/>
          </xdr:cNvSpPr>
        </xdr:nvSpPr>
        <xdr:spPr bwMode="auto">
          <a:xfrm>
            <a:off x="148" y="180"/>
            <a:ext cx="127" cy="113"/>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ゴシック"/>
                <a:ea typeface="ＭＳ Ｐゴシック"/>
              </a:rPr>
              <a:t>決裁</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報告</a:t>
            </a:r>
            <a:endParaRPr lang="en-US" altLang="ja-JP" sz="800" b="0" i="0" u="none" strike="noStrike" baseline="0">
              <a:solidFill>
                <a:srgbClr val="000000"/>
              </a:solidFill>
              <a:latin typeface="ＭＳ Ｐゴシック"/>
              <a:ea typeface="ＭＳ Ｐゴシック"/>
            </a:endParaRPr>
          </a:p>
          <a:p>
            <a:pPr algn="ctr" rtl="0">
              <a:defRPr sz="1000"/>
            </a:pPr>
            <a:r>
              <a:rPr lang="ja-JP" altLang="en-US" sz="800" b="0" i="0" u="none" strike="noStrike" baseline="0">
                <a:solidFill>
                  <a:srgbClr val="000000"/>
                </a:solidFill>
                <a:latin typeface="ＭＳ Ｐゴシック"/>
                <a:ea typeface="ＭＳ Ｐゴシック"/>
              </a:rPr>
              <a:t>回議</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合議</a:t>
            </a:r>
          </a:p>
        </xdr:txBody>
      </xdr:sp>
      <xdr:sp macro="" textlink="">
        <xdr:nvSpPr>
          <xdr:cNvPr id="37075" name="Rectangle 211"/>
          <xdr:cNvSpPr>
            <a:spLocks noChangeArrowheads="1"/>
          </xdr:cNvSpPr>
        </xdr:nvSpPr>
        <xdr:spPr bwMode="auto">
          <a:xfrm>
            <a:off x="147" y="137"/>
            <a:ext cx="127" cy="44"/>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露崎副事業</a:t>
            </a:r>
          </a:p>
          <a:p>
            <a:pPr algn="ctr" rtl="0">
              <a:defRPr sz="1000"/>
            </a:pPr>
            <a:r>
              <a:rPr lang="ja-JP" altLang="en-US" sz="800" b="0" i="0" u="none" strike="noStrike" baseline="0">
                <a:solidFill>
                  <a:srgbClr val="000000"/>
                </a:solidFill>
                <a:latin typeface="ＭＳ Ｐゴシック"/>
                <a:ea typeface="ＭＳ Ｐゴシック"/>
              </a:rPr>
              <a:t>本部長</a:t>
            </a:r>
          </a:p>
        </xdr:txBody>
      </xdr:sp>
      <xdr:sp macro="" textlink="">
        <xdr:nvSpPr>
          <xdr:cNvPr id="37076" name="Rectangle 212"/>
          <xdr:cNvSpPr>
            <a:spLocks noChangeArrowheads="1"/>
          </xdr:cNvSpPr>
        </xdr:nvSpPr>
        <xdr:spPr bwMode="auto">
          <a:xfrm>
            <a:off x="464" y="181"/>
            <a:ext cx="94" cy="113"/>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Ｐゴシック"/>
                <a:ea typeface="ＭＳ Ｐゴシック"/>
              </a:rPr>
              <a:t>決裁</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稟議</a:t>
            </a:r>
          </a:p>
          <a:p>
            <a:pPr algn="ctr"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起案</a:t>
            </a:r>
          </a:p>
        </xdr:txBody>
      </xdr:sp>
      <xdr:sp macro="" textlink="">
        <xdr:nvSpPr>
          <xdr:cNvPr id="37077" name="Rectangle 213"/>
          <xdr:cNvSpPr>
            <a:spLocks noChangeArrowheads="1"/>
          </xdr:cNvSpPr>
        </xdr:nvSpPr>
        <xdr:spPr bwMode="auto">
          <a:xfrm>
            <a:off x="464" y="137"/>
            <a:ext cx="94" cy="44"/>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業務部長</a:t>
            </a:r>
          </a:p>
        </xdr:txBody>
      </xdr:sp>
    </xdr:grpSp>
    <xdr:clientData/>
  </xdr:twoCellAnchor>
  <xdr:twoCellAnchor>
    <xdr:from>
      <xdr:col>1</xdr:col>
      <xdr:colOff>0</xdr:colOff>
      <xdr:row>13</xdr:row>
      <xdr:rowOff>9525</xdr:rowOff>
    </xdr:from>
    <xdr:to>
      <xdr:col>7</xdr:col>
      <xdr:colOff>9525</xdr:colOff>
      <xdr:row>14</xdr:row>
      <xdr:rowOff>19050</xdr:rowOff>
    </xdr:to>
    <xdr:grpSp>
      <xdr:nvGrpSpPr>
        <xdr:cNvPr id="117730" name="Group 201"/>
        <xdr:cNvGrpSpPr>
          <a:grpSpLocks/>
        </xdr:cNvGrpSpPr>
      </xdr:nvGrpSpPr>
      <xdr:grpSpPr bwMode="auto">
        <a:xfrm>
          <a:off x="228600" y="2447925"/>
          <a:ext cx="2276475" cy="638175"/>
          <a:chOff x="321" y="180"/>
          <a:chExt cx="360" cy="113"/>
        </a:xfrm>
      </xdr:grpSpPr>
      <xdr:sp macro="" textlink="">
        <xdr:nvSpPr>
          <xdr:cNvPr id="117736" name="Rectangle 204"/>
          <xdr:cNvSpPr>
            <a:spLocks noChangeArrowheads="1"/>
          </xdr:cNvSpPr>
        </xdr:nvSpPr>
        <xdr:spPr bwMode="auto">
          <a:xfrm>
            <a:off x="412" y="180"/>
            <a:ext cx="91" cy="113"/>
          </a:xfrm>
          <a:prstGeom prst="rect">
            <a:avLst/>
          </a:prstGeom>
          <a:solidFill>
            <a:srgbClr val="FFFFFF"/>
          </a:solidFill>
          <a:ln w="9525">
            <a:solidFill>
              <a:srgbClr val="000000"/>
            </a:solidFill>
            <a:miter lim="800000"/>
            <a:headEnd/>
            <a:tailEnd/>
          </a:ln>
        </xdr:spPr>
      </xdr:sp>
      <xdr:sp macro="" textlink="">
        <xdr:nvSpPr>
          <xdr:cNvPr id="117737" name="Rectangle 205"/>
          <xdr:cNvSpPr>
            <a:spLocks noChangeArrowheads="1"/>
          </xdr:cNvSpPr>
        </xdr:nvSpPr>
        <xdr:spPr bwMode="auto">
          <a:xfrm>
            <a:off x="321" y="180"/>
            <a:ext cx="91" cy="113"/>
          </a:xfrm>
          <a:prstGeom prst="rect">
            <a:avLst/>
          </a:prstGeom>
          <a:solidFill>
            <a:srgbClr val="FFFFFF"/>
          </a:solidFill>
          <a:ln w="9525">
            <a:solidFill>
              <a:srgbClr val="000000"/>
            </a:solidFill>
            <a:miter lim="800000"/>
            <a:headEnd/>
            <a:tailEnd/>
          </a:ln>
        </xdr:spPr>
      </xdr:sp>
      <xdr:sp macro="" textlink="">
        <xdr:nvSpPr>
          <xdr:cNvPr id="117738" name="Rectangle 212"/>
          <xdr:cNvSpPr>
            <a:spLocks noChangeArrowheads="1"/>
          </xdr:cNvSpPr>
        </xdr:nvSpPr>
        <xdr:spPr bwMode="auto">
          <a:xfrm>
            <a:off x="501" y="180"/>
            <a:ext cx="90" cy="113"/>
          </a:xfrm>
          <a:prstGeom prst="rect">
            <a:avLst/>
          </a:prstGeom>
          <a:solidFill>
            <a:srgbClr val="FFFFFF"/>
          </a:solidFill>
          <a:ln w="9525">
            <a:solidFill>
              <a:srgbClr val="000000"/>
            </a:solidFill>
            <a:miter lim="800000"/>
            <a:headEnd/>
            <a:tailEnd/>
          </a:ln>
        </xdr:spPr>
      </xdr:sp>
      <xdr:sp macro="" textlink="">
        <xdr:nvSpPr>
          <xdr:cNvPr id="117739" name="Rectangle 214"/>
          <xdr:cNvSpPr>
            <a:spLocks noChangeArrowheads="1"/>
          </xdr:cNvSpPr>
        </xdr:nvSpPr>
        <xdr:spPr bwMode="auto">
          <a:xfrm>
            <a:off x="591" y="180"/>
            <a:ext cx="90" cy="113"/>
          </a:xfrm>
          <a:prstGeom prst="rect">
            <a:avLst/>
          </a:prstGeom>
          <a:solidFill>
            <a:srgbClr val="FFFFFF"/>
          </a:solidFill>
          <a:ln w="9525">
            <a:solidFill>
              <a:srgbClr val="000000"/>
            </a:solidFill>
            <a:miter lim="800000"/>
            <a:headEnd/>
            <a:tailEnd/>
          </a:ln>
        </xdr:spPr>
      </xdr:sp>
    </xdr:grpSp>
    <xdr:clientData/>
  </xdr:twoCellAnchor>
  <xdr:twoCellAnchor>
    <xdr:from>
      <xdr:col>33</xdr:col>
      <xdr:colOff>76200</xdr:colOff>
      <xdr:row>13</xdr:row>
      <xdr:rowOff>19050</xdr:rowOff>
    </xdr:from>
    <xdr:to>
      <xdr:col>44</xdr:col>
      <xdr:colOff>0</xdr:colOff>
      <xdr:row>14</xdr:row>
      <xdr:rowOff>28575</xdr:rowOff>
    </xdr:to>
    <xdr:grpSp>
      <xdr:nvGrpSpPr>
        <xdr:cNvPr id="117731" name="Group 201"/>
        <xdr:cNvGrpSpPr>
          <a:grpSpLocks/>
        </xdr:cNvGrpSpPr>
      </xdr:nvGrpSpPr>
      <xdr:grpSpPr bwMode="auto">
        <a:xfrm>
          <a:off x="9277350" y="2457450"/>
          <a:ext cx="2486025" cy="638175"/>
          <a:chOff x="321" y="180"/>
          <a:chExt cx="360" cy="113"/>
        </a:xfrm>
      </xdr:grpSpPr>
      <xdr:sp macro="" textlink="">
        <xdr:nvSpPr>
          <xdr:cNvPr id="117732" name="Rectangle 204"/>
          <xdr:cNvSpPr>
            <a:spLocks noChangeArrowheads="1"/>
          </xdr:cNvSpPr>
        </xdr:nvSpPr>
        <xdr:spPr bwMode="auto">
          <a:xfrm>
            <a:off x="412" y="180"/>
            <a:ext cx="91" cy="113"/>
          </a:xfrm>
          <a:prstGeom prst="rect">
            <a:avLst/>
          </a:prstGeom>
          <a:solidFill>
            <a:srgbClr val="FFFFFF"/>
          </a:solidFill>
          <a:ln w="9525">
            <a:solidFill>
              <a:srgbClr val="000000"/>
            </a:solidFill>
            <a:miter lim="800000"/>
            <a:headEnd/>
            <a:tailEnd/>
          </a:ln>
        </xdr:spPr>
      </xdr:sp>
      <xdr:sp macro="" textlink="">
        <xdr:nvSpPr>
          <xdr:cNvPr id="117733" name="Rectangle 205"/>
          <xdr:cNvSpPr>
            <a:spLocks noChangeArrowheads="1"/>
          </xdr:cNvSpPr>
        </xdr:nvSpPr>
        <xdr:spPr bwMode="auto">
          <a:xfrm>
            <a:off x="321" y="180"/>
            <a:ext cx="91" cy="113"/>
          </a:xfrm>
          <a:prstGeom prst="rect">
            <a:avLst/>
          </a:prstGeom>
          <a:solidFill>
            <a:srgbClr val="FFFFFF"/>
          </a:solidFill>
          <a:ln w="9525">
            <a:solidFill>
              <a:srgbClr val="000000"/>
            </a:solidFill>
            <a:miter lim="800000"/>
            <a:headEnd/>
            <a:tailEnd/>
          </a:ln>
        </xdr:spPr>
      </xdr:sp>
      <xdr:sp macro="" textlink="">
        <xdr:nvSpPr>
          <xdr:cNvPr id="117734" name="Rectangle 212"/>
          <xdr:cNvSpPr>
            <a:spLocks noChangeArrowheads="1"/>
          </xdr:cNvSpPr>
        </xdr:nvSpPr>
        <xdr:spPr bwMode="auto">
          <a:xfrm>
            <a:off x="501" y="180"/>
            <a:ext cx="90" cy="113"/>
          </a:xfrm>
          <a:prstGeom prst="rect">
            <a:avLst/>
          </a:prstGeom>
          <a:solidFill>
            <a:srgbClr val="FFFFFF"/>
          </a:solidFill>
          <a:ln w="9525">
            <a:solidFill>
              <a:srgbClr val="000000"/>
            </a:solidFill>
            <a:miter lim="800000"/>
            <a:headEnd/>
            <a:tailEnd/>
          </a:ln>
        </xdr:spPr>
      </xdr:sp>
      <xdr:sp macro="" textlink="">
        <xdr:nvSpPr>
          <xdr:cNvPr id="117735" name="Rectangle 214"/>
          <xdr:cNvSpPr>
            <a:spLocks noChangeArrowheads="1"/>
          </xdr:cNvSpPr>
        </xdr:nvSpPr>
        <xdr:spPr bwMode="auto">
          <a:xfrm>
            <a:off x="591" y="180"/>
            <a:ext cx="90" cy="113"/>
          </a:xfrm>
          <a:prstGeom prst="rect">
            <a:avLst/>
          </a:prstGeom>
          <a:solidFill>
            <a:srgbClr val="FFFFFF"/>
          </a:solidFill>
          <a:ln w="9525">
            <a:solidFill>
              <a:srgbClr val="000000"/>
            </a:solidFill>
            <a:miter lim="800000"/>
            <a:headEnd/>
            <a:tailEnd/>
          </a:ln>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5.xml"/><Relationship Id="rId13" Type="http://schemas.openxmlformats.org/officeDocument/2006/relationships/control" Target="../activeX/activeX10.xml"/><Relationship Id="rId18" Type="http://schemas.openxmlformats.org/officeDocument/2006/relationships/control" Target="../activeX/activeX15.xml"/><Relationship Id="rId3" Type="http://schemas.openxmlformats.org/officeDocument/2006/relationships/vmlDrawing" Target="../drawings/vmlDrawing4.vml"/><Relationship Id="rId21" Type="http://schemas.openxmlformats.org/officeDocument/2006/relationships/control" Target="../activeX/activeX18.xml"/><Relationship Id="rId7" Type="http://schemas.openxmlformats.org/officeDocument/2006/relationships/control" Target="../activeX/activeX4.xml"/><Relationship Id="rId12" Type="http://schemas.openxmlformats.org/officeDocument/2006/relationships/control" Target="../activeX/activeX9.xml"/><Relationship Id="rId17" Type="http://schemas.openxmlformats.org/officeDocument/2006/relationships/control" Target="../activeX/activeX14.xml"/><Relationship Id="rId2" Type="http://schemas.openxmlformats.org/officeDocument/2006/relationships/drawing" Target="../drawings/drawing1.xml"/><Relationship Id="rId16" Type="http://schemas.openxmlformats.org/officeDocument/2006/relationships/control" Target="../activeX/activeX13.xml"/><Relationship Id="rId20" Type="http://schemas.openxmlformats.org/officeDocument/2006/relationships/control" Target="../activeX/activeX17.xml"/><Relationship Id="rId1" Type="http://schemas.openxmlformats.org/officeDocument/2006/relationships/printerSettings" Target="../printerSettings/printerSettings4.bin"/><Relationship Id="rId6" Type="http://schemas.openxmlformats.org/officeDocument/2006/relationships/control" Target="../activeX/activeX3.xml"/><Relationship Id="rId11" Type="http://schemas.openxmlformats.org/officeDocument/2006/relationships/control" Target="../activeX/activeX8.xml"/><Relationship Id="rId5" Type="http://schemas.openxmlformats.org/officeDocument/2006/relationships/control" Target="../activeX/activeX2.xml"/><Relationship Id="rId15" Type="http://schemas.openxmlformats.org/officeDocument/2006/relationships/control" Target="../activeX/activeX12.xml"/><Relationship Id="rId10" Type="http://schemas.openxmlformats.org/officeDocument/2006/relationships/control" Target="../activeX/activeX7.xml"/><Relationship Id="rId19" Type="http://schemas.openxmlformats.org/officeDocument/2006/relationships/control" Target="../activeX/activeX16.xml"/><Relationship Id="rId4" Type="http://schemas.openxmlformats.org/officeDocument/2006/relationships/control" Target="../activeX/activeX1.xml"/><Relationship Id="rId9" Type="http://schemas.openxmlformats.org/officeDocument/2006/relationships/control" Target="../activeX/activeX6.xml"/><Relationship Id="rId14" Type="http://schemas.openxmlformats.org/officeDocument/2006/relationships/control" Target="../activeX/activeX11.xml"/><Relationship Id="rId22"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23.xml"/><Relationship Id="rId13" Type="http://schemas.openxmlformats.org/officeDocument/2006/relationships/control" Target="../activeX/activeX28.xml"/><Relationship Id="rId18" Type="http://schemas.openxmlformats.org/officeDocument/2006/relationships/control" Target="../activeX/activeX33.xml"/><Relationship Id="rId26" Type="http://schemas.openxmlformats.org/officeDocument/2006/relationships/control" Target="../activeX/activeX41.xml"/><Relationship Id="rId3" Type="http://schemas.openxmlformats.org/officeDocument/2006/relationships/vmlDrawing" Target="../drawings/vmlDrawing5.vml"/><Relationship Id="rId21" Type="http://schemas.openxmlformats.org/officeDocument/2006/relationships/control" Target="../activeX/activeX36.xml"/><Relationship Id="rId7" Type="http://schemas.openxmlformats.org/officeDocument/2006/relationships/control" Target="../activeX/activeX22.xml"/><Relationship Id="rId12" Type="http://schemas.openxmlformats.org/officeDocument/2006/relationships/control" Target="../activeX/activeX27.xml"/><Relationship Id="rId17" Type="http://schemas.openxmlformats.org/officeDocument/2006/relationships/control" Target="../activeX/activeX32.xml"/><Relationship Id="rId25" Type="http://schemas.openxmlformats.org/officeDocument/2006/relationships/control" Target="../activeX/activeX40.xml"/><Relationship Id="rId2" Type="http://schemas.openxmlformats.org/officeDocument/2006/relationships/drawing" Target="../drawings/drawing4.xml"/><Relationship Id="rId16" Type="http://schemas.openxmlformats.org/officeDocument/2006/relationships/control" Target="../activeX/activeX31.xml"/><Relationship Id="rId20" Type="http://schemas.openxmlformats.org/officeDocument/2006/relationships/control" Target="../activeX/activeX35.xml"/><Relationship Id="rId1" Type="http://schemas.openxmlformats.org/officeDocument/2006/relationships/printerSettings" Target="../printerSettings/printerSettings11.bin"/><Relationship Id="rId6" Type="http://schemas.openxmlformats.org/officeDocument/2006/relationships/control" Target="../activeX/activeX21.xml"/><Relationship Id="rId11" Type="http://schemas.openxmlformats.org/officeDocument/2006/relationships/control" Target="../activeX/activeX26.xml"/><Relationship Id="rId24" Type="http://schemas.openxmlformats.org/officeDocument/2006/relationships/control" Target="../activeX/activeX39.xml"/><Relationship Id="rId5" Type="http://schemas.openxmlformats.org/officeDocument/2006/relationships/control" Target="../activeX/activeX20.xml"/><Relationship Id="rId15" Type="http://schemas.openxmlformats.org/officeDocument/2006/relationships/control" Target="../activeX/activeX30.xml"/><Relationship Id="rId23" Type="http://schemas.openxmlformats.org/officeDocument/2006/relationships/control" Target="../activeX/activeX38.xml"/><Relationship Id="rId28" Type="http://schemas.openxmlformats.org/officeDocument/2006/relationships/comments" Target="../comments5.xml"/><Relationship Id="rId10" Type="http://schemas.openxmlformats.org/officeDocument/2006/relationships/control" Target="../activeX/activeX25.xml"/><Relationship Id="rId19" Type="http://schemas.openxmlformats.org/officeDocument/2006/relationships/control" Target="../activeX/activeX34.xml"/><Relationship Id="rId4" Type="http://schemas.openxmlformats.org/officeDocument/2006/relationships/control" Target="../activeX/activeX19.xml"/><Relationship Id="rId9" Type="http://schemas.openxmlformats.org/officeDocument/2006/relationships/control" Target="../activeX/activeX24.xml"/><Relationship Id="rId14" Type="http://schemas.openxmlformats.org/officeDocument/2006/relationships/control" Target="../activeX/activeX29.xml"/><Relationship Id="rId22" Type="http://schemas.openxmlformats.org/officeDocument/2006/relationships/control" Target="../activeX/activeX37.xml"/><Relationship Id="rId27" Type="http://schemas.openxmlformats.org/officeDocument/2006/relationships/control" Target="../activeX/activeX4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Sheet2">
    <pageSetUpPr fitToPage="1"/>
  </sheetPr>
  <dimension ref="B1:N98"/>
  <sheetViews>
    <sheetView showGridLines="0" showZeros="0" zoomScaleNormal="100" workbookViewId="0"/>
  </sheetViews>
  <sheetFormatPr defaultRowHeight="13.5"/>
  <cols>
    <col min="2" max="2" width="2.625" customWidth="1"/>
    <col min="4" max="4" width="11" customWidth="1"/>
    <col min="9" max="9" width="9.875" bestFit="1" customWidth="1"/>
    <col min="11" max="11" width="2.625" customWidth="1"/>
    <col min="12" max="15" width="2.25" customWidth="1"/>
  </cols>
  <sheetData>
    <row r="1" spans="2:14" ht="14.25" thickBot="1"/>
    <row r="2" spans="2:14" ht="18" customHeight="1" thickTop="1" thickBot="1">
      <c r="B2" s="27"/>
      <c r="C2" s="28"/>
      <c r="D2" s="28"/>
      <c r="E2" s="28"/>
      <c r="F2" s="28"/>
      <c r="G2" s="28"/>
      <c r="H2" s="28"/>
      <c r="I2" s="28"/>
      <c r="J2" s="28" t="s">
        <v>489</v>
      </c>
      <c r="K2" s="29"/>
      <c r="L2" s="1"/>
      <c r="M2" s="1"/>
      <c r="N2" s="1"/>
    </row>
    <row r="3" spans="2:14" ht="18" customHeight="1" thickBot="1">
      <c r="B3" s="30"/>
      <c r="C3" s="13" t="s">
        <v>490</v>
      </c>
      <c r="D3" s="1"/>
      <c r="E3" s="1"/>
      <c r="F3" s="1" t="s">
        <v>491</v>
      </c>
      <c r="G3" s="1"/>
      <c r="H3" s="72"/>
      <c r="I3" s="11" t="s">
        <v>422</v>
      </c>
      <c r="J3" s="1"/>
      <c r="K3" s="31"/>
      <c r="L3" s="1"/>
      <c r="M3" s="1"/>
      <c r="N3" s="1"/>
    </row>
    <row r="4" spans="2:14" ht="18" customHeight="1" thickBot="1">
      <c r="B4" s="30"/>
      <c r="C4" s="1"/>
      <c r="D4" s="1"/>
      <c r="E4" s="1"/>
      <c r="F4" s="1"/>
      <c r="G4" s="1"/>
      <c r="H4" s="1"/>
      <c r="I4" s="1"/>
      <c r="J4" s="1"/>
      <c r="K4" s="31"/>
      <c r="L4" s="1"/>
      <c r="M4" s="1"/>
      <c r="N4" s="1"/>
    </row>
    <row r="5" spans="2:14" ht="18" customHeight="1" thickBot="1">
      <c r="B5" s="30"/>
      <c r="C5" s="1" t="s">
        <v>492</v>
      </c>
      <c r="D5" s="1"/>
      <c r="E5" s="426" t="str">
        <f>[0]!DispatchPersonName</f>
        <v>田中　健治</v>
      </c>
      <c r="F5" s="427"/>
      <c r="G5" s="427"/>
      <c r="H5" s="427"/>
      <c r="I5" s="427"/>
      <c r="J5" s="428"/>
      <c r="K5" s="31"/>
      <c r="L5" s="1"/>
      <c r="M5" s="1"/>
      <c r="N5" s="1"/>
    </row>
    <row r="6" spans="2:14" ht="18" customHeight="1" thickBot="1">
      <c r="B6" s="30"/>
      <c r="C6" s="1" t="s">
        <v>493</v>
      </c>
      <c r="D6" s="1"/>
      <c r="E6" s="426" t="str">
        <f>[0]!ContractorName &amp; 外注付託依頼書!S29</f>
        <v>有限責任事業組合インフラ・アセット・エンジニアリング</v>
      </c>
      <c r="F6" s="427"/>
      <c r="G6" s="427"/>
      <c r="H6" s="427"/>
      <c r="I6" s="427"/>
      <c r="J6" s="428"/>
      <c r="K6" s="31"/>
      <c r="L6" s="1"/>
      <c r="M6" s="1"/>
      <c r="N6" s="1"/>
    </row>
    <row r="7" spans="2:14" ht="18" customHeight="1" thickBot="1">
      <c r="B7" s="30"/>
      <c r="C7" s="1" t="s">
        <v>494</v>
      </c>
      <c r="D7" s="1"/>
      <c r="E7" s="1"/>
      <c r="F7" s="72"/>
      <c r="G7" s="1" t="s">
        <v>424</v>
      </c>
      <c r="H7" s="1" t="s">
        <v>495</v>
      </c>
      <c r="I7" s="22">
        <f>+算出表用テーブル!L16</f>
        <v>0</v>
      </c>
      <c r="J7" s="1" t="s">
        <v>496</v>
      </c>
      <c r="K7" s="31"/>
      <c r="L7" s="1"/>
      <c r="M7" s="1"/>
      <c r="N7" s="1"/>
    </row>
    <row r="8" spans="2:14" ht="18" customHeight="1" thickBot="1">
      <c r="B8" s="30"/>
      <c r="C8" s="1"/>
      <c r="D8" s="1"/>
      <c r="E8" s="1"/>
      <c r="F8" s="1"/>
      <c r="G8" s="1"/>
      <c r="H8" s="1"/>
      <c r="I8" s="1"/>
      <c r="J8" s="1"/>
      <c r="K8" s="31"/>
      <c r="L8" s="1"/>
      <c r="M8" s="1"/>
      <c r="N8" s="1"/>
    </row>
    <row r="9" spans="2:14" ht="18" customHeight="1" thickBot="1">
      <c r="B9" s="30"/>
      <c r="C9" s="1" t="s">
        <v>497</v>
      </c>
      <c r="D9" s="1"/>
      <c r="E9" s="1"/>
      <c r="F9" s="1"/>
      <c r="G9" s="1"/>
      <c r="H9" s="1"/>
      <c r="I9" s="223">
        <f>+算出表用テーブル!I16</f>
        <v>0</v>
      </c>
      <c r="J9" s="1" t="s">
        <v>498</v>
      </c>
      <c r="K9" s="31"/>
      <c r="L9" s="1"/>
      <c r="M9" s="1"/>
      <c r="N9" s="1"/>
    </row>
    <row r="10" spans="2:14" ht="18" customHeight="1">
      <c r="B10" s="30"/>
      <c r="C10" s="1"/>
      <c r="D10" s="1"/>
      <c r="E10" s="1"/>
      <c r="F10" s="1"/>
      <c r="G10" s="1"/>
      <c r="H10" s="1"/>
      <c r="I10" s="217"/>
      <c r="J10" s="1"/>
      <c r="K10" s="31"/>
      <c r="L10" s="1"/>
      <c r="M10" s="1"/>
      <c r="N10" s="1"/>
    </row>
    <row r="11" spans="2:14" ht="18" customHeight="1">
      <c r="B11" s="30"/>
      <c r="C11" s="1" t="s">
        <v>499</v>
      </c>
      <c r="D11" s="20" t="s">
        <v>148</v>
      </c>
      <c r="E11" s="1"/>
      <c r="F11" s="1"/>
      <c r="G11" s="1"/>
      <c r="H11" s="1"/>
      <c r="I11" s="216"/>
      <c r="J11" s="1"/>
      <c r="K11" s="31"/>
      <c r="L11" s="1"/>
      <c r="M11" s="1"/>
      <c r="N11" s="1"/>
    </row>
    <row r="12" spans="2:14" ht="18" customHeight="1">
      <c r="B12" s="30"/>
      <c r="C12" s="1"/>
      <c r="D12" s="20" t="s">
        <v>500</v>
      </c>
      <c r="E12" s="13" t="s">
        <v>285</v>
      </c>
      <c r="F12" s="12"/>
      <c r="G12" s="12"/>
      <c r="H12" s="12"/>
      <c r="K12" s="31"/>
      <c r="L12" s="1"/>
      <c r="M12" s="1"/>
      <c r="N12" s="1"/>
    </row>
    <row r="13" spans="2:14" ht="18" customHeight="1">
      <c r="B13" s="30"/>
      <c r="C13" s="1"/>
      <c r="D13" s="20" t="s">
        <v>501</v>
      </c>
      <c r="E13" s="13" t="s">
        <v>286</v>
      </c>
      <c r="F13" s="12"/>
      <c r="G13" s="12"/>
      <c r="H13" s="12"/>
      <c r="K13" s="31"/>
      <c r="L13" s="1"/>
      <c r="M13" s="1"/>
      <c r="N13" s="1"/>
    </row>
    <row r="14" spans="2:14" ht="18" customHeight="1">
      <c r="B14" s="30"/>
      <c r="C14" s="1"/>
      <c r="D14" s="20" t="s">
        <v>502</v>
      </c>
      <c r="E14" s="13" t="s">
        <v>287</v>
      </c>
      <c r="F14" s="12"/>
      <c r="G14" s="12"/>
      <c r="H14" s="12"/>
      <c r="K14" s="31"/>
      <c r="L14" s="1"/>
      <c r="M14" s="1"/>
      <c r="N14" s="1"/>
    </row>
    <row r="15" spans="2:14" ht="18" customHeight="1">
      <c r="B15" s="30"/>
      <c r="C15" s="1"/>
      <c r="D15" s="20" t="s">
        <v>503</v>
      </c>
      <c r="E15" s="13" t="s">
        <v>288</v>
      </c>
      <c r="F15" s="12"/>
      <c r="G15" s="12"/>
      <c r="H15" s="12"/>
      <c r="K15" s="31"/>
      <c r="L15" s="1"/>
      <c r="M15" s="1"/>
      <c r="N15" s="1"/>
    </row>
    <row r="16" spans="2:14" ht="18" customHeight="1">
      <c r="B16" s="30"/>
      <c r="C16" s="1"/>
      <c r="D16" s="20" t="s">
        <v>504</v>
      </c>
      <c r="E16" s="13" t="s">
        <v>289</v>
      </c>
      <c r="F16" s="12"/>
      <c r="G16" s="12"/>
      <c r="H16" s="12"/>
      <c r="K16" s="31"/>
      <c r="L16" s="1"/>
      <c r="M16" s="1"/>
      <c r="N16" s="1"/>
    </row>
    <row r="17" spans="2:14" ht="18" customHeight="1">
      <c r="B17" s="30"/>
      <c r="C17" s="1"/>
      <c r="D17" s="20" t="s">
        <v>505</v>
      </c>
      <c r="E17" s="13" t="s">
        <v>290</v>
      </c>
      <c r="F17" s="12"/>
      <c r="G17" s="12"/>
      <c r="H17" s="12"/>
      <c r="K17" s="31"/>
      <c r="L17" s="1"/>
      <c r="M17" s="1"/>
      <c r="N17" s="1"/>
    </row>
    <row r="18" spans="2:14" ht="18" customHeight="1">
      <c r="B18" s="30"/>
      <c r="C18" s="1"/>
      <c r="D18" s="20" t="s">
        <v>506</v>
      </c>
      <c r="E18" s="13" t="s">
        <v>291</v>
      </c>
      <c r="F18" s="12"/>
      <c r="G18" s="12"/>
      <c r="H18" s="12"/>
      <c r="K18" s="31"/>
      <c r="L18" s="1"/>
      <c r="M18" s="1"/>
      <c r="N18" s="1"/>
    </row>
    <row r="19" spans="2:14" ht="18" customHeight="1">
      <c r="B19" s="30"/>
      <c r="C19" s="1"/>
      <c r="D19" s="20" t="s">
        <v>507</v>
      </c>
      <c r="E19" s="13" t="s">
        <v>292</v>
      </c>
      <c r="F19" s="12"/>
      <c r="G19" s="12"/>
      <c r="H19" s="12"/>
      <c r="K19" s="31"/>
      <c r="L19" s="1"/>
      <c r="M19" s="1"/>
      <c r="N19" s="1"/>
    </row>
    <row r="20" spans="2:14" ht="18" customHeight="1">
      <c r="B20" s="30"/>
      <c r="C20" s="1"/>
      <c r="D20" s="20" t="s">
        <v>508</v>
      </c>
      <c r="E20" s="13" t="s">
        <v>292</v>
      </c>
      <c r="F20" s="12"/>
      <c r="G20" s="12"/>
      <c r="H20" s="12"/>
      <c r="K20" s="31"/>
      <c r="L20" s="1"/>
      <c r="M20" s="1"/>
      <c r="N20" s="1"/>
    </row>
    <row r="21" spans="2:14" ht="18" customHeight="1">
      <c r="B21" s="30"/>
      <c r="C21" s="1"/>
      <c r="D21" s="20" t="s">
        <v>509</v>
      </c>
      <c r="E21" s="13" t="s">
        <v>292</v>
      </c>
      <c r="F21" s="12"/>
      <c r="G21" s="12"/>
      <c r="H21" s="12"/>
      <c r="K21" s="31"/>
      <c r="L21" s="1"/>
      <c r="M21" s="1"/>
      <c r="N21" s="1"/>
    </row>
    <row r="22" spans="2:14" ht="18" customHeight="1">
      <c r="B22" s="30"/>
      <c r="C22" s="1"/>
      <c r="D22" s="20"/>
      <c r="E22" s="1"/>
      <c r="F22" s="1"/>
      <c r="G22" s="1"/>
      <c r="H22" s="1"/>
      <c r="K22" s="31"/>
      <c r="L22" s="1"/>
      <c r="M22" s="1"/>
      <c r="N22" s="1"/>
    </row>
    <row r="23" spans="2:14" ht="18" customHeight="1" thickBot="1">
      <c r="B23" s="30"/>
      <c r="C23" s="1"/>
      <c r="D23" s="1"/>
      <c r="E23" s="1"/>
      <c r="F23" s="1" t="s">
        <v>510</v>
      </c>
      <c r="G23" s="1"/>
      <c r="H23" s="1"/>
      <c r="I23" s="216"/>
      <c r="J23" s="1"/>
      <c r="K23" s="31"/>
      <c r="L23" s="1"/>
      <c r="M23" s="1"/>
      <c r="N23" s="1"/>
    </row>
    <row r="24" spans="2:14" ht="18" customHeight="1" thickBot="1">
      <c r="B24" s="30"/>
      <c r="C24" s="1"/>
      <c r="D24" s="1" t="s">
        <v>511</v>
      </c>
      <c r="E24" s="1"/>
      <c r="F24" s="224"/>
      <c r="G24" s="23">
        <f>+算出表用テーブル!J28*100</f>
        <v>0</v>
      </c>
      <c r="H24" s="1" t="s">
        <v>452</v>
      </c>
      <c r="I24" s="225">
        <f>INT(+I9*G24/100)</f>
        <v>0</v>
      </c>
      <c r="J24" s="1"/>
      <c r="K24" s="31"/>
      <c r="L24" s="1"/>
      <c r="M24" s="1"/>
      <c r="N24" s="1"/>
    </row>
    <row r="25" spans="2:14" ht="18" customHeight="1">
      <c r="B25" s="30"/>
      <c r="C25" s="1"/>
      <c r="D25" s="1"/>
      <c r="E25" s="1"/>
      <c r="F25" s="1"/>
      <c r="G25" s="1"/>
      <c r="H25" s="1"/>
      <c r="I25" s="216"/>
      <c r="J25" s="1"/>
      <c r="K25" s="31"/>
      <c r="L25" s="1"/>
      <c r="M25" s="1"/>
      <c r="N25" s="1"/>
    </row>
    <row r="26" spans="2:14" ht="18" customHeight="1">
      <c r="B26" s="30"/>
      <c r="C26" s="1" t="s">
        <v>295</v>
      </c>
      <c r="D26" s="1"/>
      <c r="E26" s="1"/>
      <c r="F26" s="1"/>
      <c r="G26" s="1"/>
      <c r="H26" s="1"/>
      <c r="I26" s="216"/>
      <c r="J26" s="1"/>
      <c r="K26" s="31"/>
      <c r="L26" s="1"/>
      <c r="M26" s="1"/>
      <c r="N26" s="1"/>
    </row>
    <row r="27" spans="2:14" ht="18" customHeight="1">
      <c r="B27" s="30"/>
      <c r="C27" s="1"/>
      <c r="D27" s="1"/>
      <c r="E27" s="1"/>
      <c r="F27" s="1"/>
      <c r="G27" s="1"/>
      <c r="H27" s="1"/>
      <c r="I27" s="216"/>
      <c r="J27" s="1"/>
      <c r="K27" s="31"/>
      <c r="L27" s="1"/>
      <c r="M27" s="1"/>
      <c r="N27" s="1"/>
    </row>
    <row r="28" spans="2:14" ht="18" customHeight="1">
      <c r="B28" s="30"/>
      <c r="C28" s="1" t="s">
        <v>512</v>
      </c>
      <c r="D28" s="1"/>
      <c r="E28" s="1"/>
      <c r="F28" s="1"/>
      <c r="G28" s="1"/>
      <c r="H28" s="1"/>
      <c r="I28" s="216"/>
      <c r="J28" s="1"/>
      <c r="K28" s="31"/>
      <c r="L28" s="1"/>
      <c r="M28" s="1"/>
      <c r="N28" s="1"/>
    </row>
    <row r="29" spans="2:14" ht="18" customHeight="1">
      <c r="B29" s="30"/>
      <c r="C29" s="1"/>
      <c r="D29" s="2" t="s">
        <v>513</v>
      </c>
      <c r="E29" s="20" t="s">
        <v>148</v>
      </c>
      <c r="F29" s="1"/>
      <c r="G29" s="1"/>
      <c r="H29" s="1"/>
      <c r="I29" s="216"/>
      <c r="J29" s="1"/>
      <c r="K29" s="31"/>
      <c r="L29" s="1"/>
      <c r="M29" s="1"/>
      <c r="N29" s="1"/>
    </row>
    <row r="30" spans="2:14" ht="25.5" customHeight="1">
      <c r="B30" s="30"/>
      <c r="C30" s="1"/>
      <c r="D30" s="1" t="s">
        <v>514</v>
      </c>
      <c r="E30" s="20" t="s">
        <v>515</v>
      </c>
      <c r="F30" s="429" t="s">
        <v>516</v>
      </c>
      <c r="G30" s="429"/>
      <c r="H30" s="429"/>
      <c r="I30" s="429"/>
      <c r="J30" s="429"/>
      <c r="K30" s="31"/>
      <c r="L30" s="1"/>
      <c r="M30" s="1"/>
      <c r="N30" s="1"/>
    </row>
    <row r="31" spans="2:14" ht="18" customHeight="1">
      <c r="B31" s="30"/>
      <c r="C31" s="1"/>
      <c r="D31" s="424" t="s">
        <v>517</v>
      </c>
      <c r="E31" s="20" t="s">
        <v>518</v>
      </c>
      <c r="F31" s="13" t="s">
        <v>519</v>
      </c>
      <c r="G31" s="1"/>
      <c r="H31" s="1"/>
      <c r="I31" s="1"/>
      <c r="J31" s="1"/>
      <c r="K31" s="31"/>
      <c r="L31" s="1"/>
      <c r="M31" s="1"/>
      <c r="N31" s="1"/>
    </row>
    <row r="32" spans="2:14" ht="18" customHeight="1" thickBot="1">
      <c r="B32" s="30"/>
      <c r="C32" s="1"/>
      <c r="D32" s="425"/>
      <c r="E32" s="20" t="s">
        <v>520</v>
      </c>
      <c r="F32" s="13" t="s">
        <v>521</v>
      </c>
      <c r="G32" s="1"/>
      <c r="H32" s="1"/>
      <c r="I32" s="1"/>
      <c r="J32" s="1"/>
      <c r="K32" s="31"/>
      <c r="L32" s="1"/>
      <c r="M32" s="1"/>
      <c r="N32" s="1"/>
    </row>
    <row r="33" spans="2:14" ht="18" customHeight="1" thickBot="1">
      <c r="B33" s="30"/>
      <c r="C33" s="1"/>
      <c r="D33" s="425"/>
      <c r="E33" s="1" t="s">
        <v>510</v>
      </c>
      <c r="F33" s="224"/>
      <c r="G33" s="1"/>
      <c r="H33" s="1"/>
      <c r="I33" s="225">
        <f>算出表用テーブル!J40</f>
        <v>0</v>
      </c>
      <c r="J33" s="1"/>
      <c r="K33" s="31"/>
      <c r="L33" s="1"/>
      <c r="M33" s="1"/>
      <c r="N33" s="1"/>
    </row>
    <row r="34" spans="2:14" ht="18" customHeight="1">
      <c r="B34" s="30"/>
      <c r="C34" s="1"/>
      <c r="D34" s="425"/>
      <c r="E34" s="1"/>
      <c r="F34" s="1"/>
      <c r="G34" s="1"/>
      <c r="H34" s="1"/>
      <c r="I34" s="1"/>
      <c r="J34" s="1"/>
      <c r="K34" s="31"/>
      <c r="L34" s="1"/>
      <c r="M34" s="1"/>
      <c r="N34" s="1"/>
    </row>
    <row r="35" spans="2:14" ht="18" customHeight="1">
      <c r="B35" s="30"/>
      <c r="C35" s="1"/>
      <c r="D35" s="3" t="s">
        <v>522</v>
      </c>
      <c r="E35" s="20" t="s">
        <v>523</v>
      </c>
      <c r="F35" s="1"/>
      <c r="G35" s="1"/>
      <c r="H35" s="1"/>
      <c r="I35" s="1"/>
      <c r="J35" s="1"/>
      <c r="K35" s="31"/>
      <c r="L35" s="1"/>
      <c r="M35" s="1"/>
      <c r="N35" s="1"/>
    </row>
    <row r="36" spans="2:14" ht="18" customHeight="1">
      <c r="B36" s="30"/>
      <c r="C36" s="1"/>
      <c r="D36" s="1" t="s">
        <v>524</v>
      </c>
      <c r="E36" s="20" t="s">
        <v>525</v>
      </c>
      <c r="F36" s="1" t="s">
        <v>526</v>
      </c>
      <c r="G36" s="1"/>
      <c r="H36" s="1"/>
      <c r="I36" s="1"/>
      <c r="J36" s="1"/>
      <c r="K36" s="31"/>
      <c r="L36" s="1"/>
      <c r="M36" s="1"/>
      <c r="N36" s="1"/>
    </row>
    <row r="37" spans="2:14" ht="18" customHeight="1">
      <c r="B37" s="30"/>
      <c r="C37" s="1"/>
      <c r="D37" s="1" t="s">
        <v>527</v>
      </c>
      <c r="E37" s="20" t="s">
        <v>528</v>
      </c>
      <c r="F37" s="1" t="s">
        <v>529</v>
      </c>
      <c r="G37" s="1"/>
      <c r="H37" s="1"/>
      <c r="I37" s="1"/>
      <c r="J37" s="1"/>
      <c r="K37" s="31"/>
      <c r="L37" s="1"/>
      <c r="M37" s="1"/>
      <c r="N37" s="1"/>
    </row>
    <row r="38" spans="2:14" ht="18" customHeight="1">
      <c r="B38" s="30"/>
      <c r="C38" s="1"/>
      <c r="D38" s="424" t="s">
        <v>530</v>
      </c>
      <c r="E38" s="20" t="s">
        <v>531</v>
      </c>
      <c r="F38" s="1" t="s">
        <v>532</v>
      </c>
      <c r="G38" s="1"/>
      <c r="H38" s="1"/>
      <c r="I38" s="1"/>
      <c r="J38" s="1"/>
      <c r="K38" s="31"/>
      <c r="L38" s="1"/>
      <c r="M38" s="1"/>
      <c r="N38" s="1"/>
    </row>
    <row r="39" spans="2:14" ht="18" customHeight="1">
      <c r="B39" s="30"/>
      <c r="C39" s="1"/>
      <c r="D39" s="425"/>
      <c r="E39" s="20" t="s">
        <v>533</v>
      </c>
      <c r="F39" s="1" t="s">
        <v>534</v>
      </c>
      <c r="G39" s="1"/>
      <c r="H39" s="1"/>
      <c r="I39" s="1"/>
      <c r="J39" s="1"/>
      <c r="K39" s="31"/>
      <c r="L39" s="1"/>
      <c r="M39" s="1"/>
      <c r="N39" s="1"/>
    </row>
    <row r="40" spans="2:14" ht="18" customHeight="1">
      <c r="B40" s="30"/>
      <c r="C40" s="1"/>
      <c r="D40" s="425"/>
      <c r="E40" s="24" t="s">
        <v>535</v>
      </c>
      <c r="F40" s="1"/>
      <c r="G40" s="1"/>
      <c r="H40" s="1"/>
      <c r="I40" s="1"/>
      <c r="J40" s="1"/>
      <c r="K40" s="31"/>
      <c r="L40" s="1"/>
      <c r="M40" s="1"/>
      <c r="N40" s="1"/>
    </row>
    <row r="41" spans="2:14" ht="18" customHeight="1">
      <c r="B41" s="30"/>
      <c r="C41" s="1"/>
      <c r="D41" s="425"/>
      <c r="E41" s="20" t="s">
        <v>536</v>
      </c>
      <c r="F41" s="13" t="s">
        <v>537</v>
      </c>
      <c r="G41" s="1"/>
      <c r="H41" s="1"/>
      <c r="I41" s="1"/>
      <c r="J41" s="1"/>
      <c r="K41" s="31"/>
      <c r="L41" s="1"/>
      <c r="M41" s="1"/>
      <c r="N41" s="1"/>
    </row>
    <row r="42" spans="2:14" ht="18" customHeight="1" thickBot="1">
      <c r="B42" s="30"/>
      <c r="C42" s="1"/>
      <c r="D42" s="3"/>
      <c r="E42" s="20"/>
      <c r="F42" s="1"/>
      <c r="G42" s="1"/>
      <c r="H42" s="1"/>
      <c r="I42" s="1"/>
      <c r="J42" s="1"/>
      <c r="K42" s="31"/>
      <c r="L42" s="1"/>
      <c r="M42" s="1"/>
      <c r="N42" s="1"/>
    </row>
    <row r="43" spans="2:14" ht="18" customHeight="1" thickBot="1">
      <c r="B43" s="30"/>
      <c r="C43" s="1"/>
      <c r="D43" s="3"/>
      <c r="E43" s="20" t="s">
        <v>510</v>
      </c>
      <c r="F43" s="20" t="s">
        <v>538</v>
      </c>
      <c r="G43" s="224"/>
      <c r="H43" s="225">
        <f>+算出表用テーブル!J50</f>
        <v>0</v>
      </c>
      <c r="I43" s="226"/>
      <c r="J43" s="1"/>
      <c r="K43" s="31"/>
      <c r="L43" s="1"/>
      <c r="M43" s="1"/>
      <c r="N43" s="1"/>
    </row>
    <row r="44" spans="2:14" ht="18" customHeight="1" thickBot="1">
      <c r="B44" s="30"/>
      <c r="C44" s="1"/>
      <c r="D44" s="3"/>
      <c r="E44" s="20"/>
      <c r="F44" s="20" t="s">
        <v>102</v>
      </c>
      <c r="G44" s="224"/>
      <c r="H44" s="225">
        <f>IF(G44=0,0,IF(G44=E41,30,0))</f>
        <v>0</v>
      </c>
      <c r="I44" s="225">
        <f>+H43+H44</f>
        <v>0</v>
      </c>
      <c r="J44" s="1"/>
      <c r="K44" s="31"/>
      <c r="L44" s="1"/>
      <c r="M44" s="1"/>
      <c r="N44" s="1"/>
    </row>
    <row r="45" spans="2:14" ht="18" customHeight="1">
      <c r="B45" s="30"/>
      <c r="C45" s="1"/>
      <c r="D45" s="3"/>
      <c r="E45" s="20"/>
      <c r="F45" s="1"/>
      <c r="G45" s="1"/>
      <c r="H45" s="1"/>
      <c r="I45" s="1"/>
      <c r="J45" s="1"/>
      <c r="K45" s="31"/>
      <c r="L45" s="1"/>
      <c r="M45" s="1"/>
      <c r="N45" s="1"/>
    </row>
    <row r="46" spans="2:14" ht="18" customHeight="1" thickBot="1">
      <c r="B46" s="32"/>
      <c r="C46" s="33"/>
      <c r="D46" s="34"/>
      <c r="E46" s="35"/>
      <c r="F46" s="33"/>
      <c r="G46" s="33"/>
      <c r="H46" s="33"/>
      <c r="I46" s="33"/>
      <c r="J46" s="33"/>
      <c r="K46" s="36"/>
      <c r="L46" s="1"/>
      <c r="M46" s="1"/>
      <c r="N46" s="1"/>
    </row>
    <row r="47" spans="2:14" ht="18" customHeight="1" thickTop="1"/>
    <row r="48" spans="2:14" ht="18" customHeight="1"/>
    <row r="49" spans="2:14" ht="18" customHeight="1" thickBot="1"/>
    <row r="50" spans="2:14" ht="18" customHeight="1" thickTop="1">
      <c r="B50" s="27"/>
      <c r="C50" s="28"/>
      <c r="D50" s="37"/>
      <c r="E50" s="38"/>
      <c r="F50" s="28"/>
      <c r="G50" s="28"/>
      <c r="H50" s="28"/>
      <c r="I50" s="28"/>
      <c r="J50" s="28" t="s">
        <v>539</v>
      </c>
      <c r="K50" s="29"/>
      <c r="L50" s="1"/>
      <c r="M50" s="1"/>
      <c r="N50" s="1"/>
    </row>
    <row r="51" spans="2:14" ht="18" customHeight="1">
      <c r="B51" s="30"/>
      <c r="C51" s="1"/>
      <c r="D51" s="3" t="s">
        <v>540</v>
      </c>
      <c r="E51" s="20" t="s">
        <v>148</v>
      </c>
      <c r="F51" s="1"/>
      <c r="G51" s="1"/>
      <c r="H51" s="1"/>
      <c r="I51" s="1"/>
      <c r="J51" s="1"/>
      <c r="K51" s="31"/>
      <c r="L51" s="1"/>
      <c r="M51" s="1"/>
      <c r="N51" s="1"/>
    </row>
    <row r="52" spans="2:14" ht="18" customHeight="1">
      <c r="B52" s="30"/>
      <c r="C52" s="1"/>
      <c r="D52" s="1" t="s">
        <v>541</v>
      </c>
      <c r="E52" s="20" t="s">
        <v>542</v>
      </c>
      <c r="F52" s="1" t="s">
        <v>319</v>
      </c>
      <c r="G52" s="1"/>
      <c r="H52" s="1"/>
      <c r="I52" s="1"/>
      <c r="J52" s="1"/>
      <c r="K52" s="31"/>
      <c r="L52" s="1"/>
      <c r="M52" s="1"/>
      <c r="N52" s="1"/>
    </row>
    <row r="53" spans="2:14" ht="18" customHeight="1">
      <c r="B53" s="30"/>
      <c r="C53" s="1"/>
      <c r="D53" s="1"/>
      <c r="E53" s="20" t="s">
        <v>543</v>
      </c>
      <c r="F53" s="1" t="s">
        <v>320</v>
      </c>
      <c r="G53" s="1"/>
      <c r="H53" s="1"/>
      <c r="I53" s="1"/>
      <c r="J53" s="1"/>
      <c r="K53" s="31"/>
      <c r="L53" s="1"/>
      <c r="M53" s="1"/>
      <c r="N53" s="1"/>
    </row>
    <row r="54" spans="2:14" ht="18" customHeight="1">
      <c r="B54" s="30"/>
      <c r="C54" s="1"/>
      <c r="D54" s="424" t="s">
        <v>544</v>
      </c>
      <c r="E54" s="20" t="s">
        <v>545</v>
      </c>
      <c r="F54" s="1" t="s">
        <v>304</v>
      </c>
      <c r="G54" s="1"/>
      <c r="H54" s="1"/>
      <c r="I54" s="1"/>
      <c r="J54" s="1"/>
      <c r="K54" s="31"/>
      <c r="L54" s="1"/>
      <c r="M54" s="1"/>
      <c r="N54" s="1"/>
    </row>
    <row r="55" spans="2:14" ht="18" customHeight="1">
      <c r="B55" s="30"/>
      <c r="C55" s="1"/>
      <c r="D55" s="425"/>
      <c r="E55" s="20" t="s">
        <v>546</v>
      </c>
      <c r="F55" s="1" t="s">
        <v>307</v>
      </c>
      <c r="G55" s="1"/>
      <c r="H55" s="1"/>
      <c r="I55" s="1"/>
      <c r="J55" s="1"/>
      <c r="K55" s="31"/>
      <c r="L55" s="1"/>
      <c r="M55" s="1"/>
      <c r="N55" s="1"/>
    </row>
    <row r="56" spans="2:14" ht="18" customHeight="1">
      <c r="B56" s="30"/>
      <c r="C56" s="1"/>
      <c r="D56" s="425"/>
      <c r="E56" s="20" t="s">
        <v>547</v>
      </c>
      <c r="F56" s="1" t="s">
        <v>322</v>
      </c>
      <c r="G56" s="1"/>
      <c r="H56" s="1"/>
      <c r="I56" s="1"/>
      <c r="J56" s="1"/>
      <c r="K56" s="31"/>
      <c r="L56" s="1"/>
      <c r="M56" s="1"/>
      <c r="N56" s="1"/>
    </row>
    <row r="57" spans="2:14" ht="18" customHeight="1">
      <c r="B57" s="30"/>
      <c r="C57" s="1"/>
      <c r="D57" s="425"/>
      <c r="E57" s="20" t="s">
        <v>548</v>
      </c>
      <c r="F57" s="1" t="s">
        <v>323</v>
      </c>
      <c r="G57" s="1"/>
      <c r="H57" s="45" t="s">
        <v>549</v>
      </c>
      <c r="I57" s="1"/>
      <c r="J57" s="1"/>
      <c r="K57" s="31"/>
      <c r="L57" s="1"/>
      <c r="M57" s="1"/>
      <c r="N57" s="1"/>
    </row>
    <row r="58" spans="2:14" ht="18" customHeight="1" thickBot="1">
      <c r="B58" s="30"/>
      <c r="C58" s="1"/>
      <c r="D58" s="25"/>
      <c r="E58" s="20" t="s">
        <v>550</v>
      </c>
      <c r="F58" s="1" t="s">
        <v>324</v>
      </c>
      <c r="G58" s="1"/>
      <c r="H58" s="45" t="s">
        <v>551</v>
      </c>
      <c r="J58" s="1"/>
      <c r="K58" s="31"/>
      <c r="L58" s="1"/>
      <c r="M58" s="1"/>
      <c r="N58" s="1"/>
    </row>
    <row r="59" spans="2:14" ht="18" customHeight="1" thickBot="1">
      <c r="B59" s="30"/>
      <c r="C59" s="1"/>
      <c r="D59" s="3"/>
      <c r="E59" s="45"/>
      <c r="F59" s="1"/>
      <c r="G59" s="1"/>
      <c r="H59" s="1" t="s">
        <v>552</v>
      </c>
      <c r="I59" s="225">
        <f>+算出表用テーブル!J63</f>
        <v>0</v>
      </c>
      <c r="J59" s="1"/>
      <c r="K59" s="31"/>
      <c r="L59" s="1"/>
      <c r="M59" s="1"/>
      <c r="N59" s="1"/>
    </row>
    <row r="60" spans="2:14" ht="18" customHeight="1" thickBot="1">
      <c r="B60" s="30"/>
      <c r="C60" s="1"/>
      <c r="D60" s="3"/>
      <c r="E60" s="20"/>
      <c r="F60" s="20" t="s">
        <v>510</v>
      </c>
      <c r="G60" s="72"/>
      <c r="H60" s="26"/>
      <c r="I60" s="72"/>
      <c r="J60" s="1"/>
      <c r="K60" s="31"/>
      <c r="L60" s="1"/>
      <c r="M60" s="1"/>
      <c r="N60" s="1"/>
    </row>
    <row r="61" spans="2:14" ht="18" customHeight="1" thickBot="1">
      <c r="B61" s="30"/>
      <c r="C61" s="1"/>
      <c r="D61" s="3"/>
      <c r="E61" s="1"/>
      <c r="F61" s="1"/>
      <c r="G61" s="1"/>
      <c r="H61" s="1"/>
      <c r="I61" s="1"/>
      <c r="J61" s="1"/>
      <c r="K61" s="31"/>
      <c r="L61" s="1"/>
      <c r="M61" s="1"/>
      <c r="N61" s="1"/>
    </row>
    <row r="62" spans="2:14" ht="18" customHeight="1" thickBot="1">
      <c r="B62" s="30"/>
      <c r="C62" s="1"/>
      <c r="D62" s="1" t="s">
        <v>553</v>
      </c>
      <c r="E62" s="1"/>
      <c r="F62" s="1"/>
      <c r="G62" s="1"/>
      <c r="H62" s="1"/>
      <c r="I62" s="225">
        <f>+I33+I44+I60</f>
        <v>0</v>
      </c>
      <c r="J62" s="1"/>
      <c r="K62" s="31"/>
      <c r="L62" s="1"/>
      <c r="M62" s="1"/>
      <c r="N62" s="1"/>
    </row>
    <row r="63" spans="2:14" ht="18" customHeight="1">
      <c r="B63" s="30"/>
      <c r="C63" s="1"/>
      <c r="D63" s="1"/>
      <c r="E63" s="1"/>
      <c r="F63" s="1"/>
      <c r="G63" s="1"/>
      <c r="H63" s="1"/>
      <c r="I63" s="216"/>
      <c r="J63" s="1"/>
      <c r="K63" s="31"/>
      <c r="L63" s="1"/>
      <c r="M63" s="1"/>
      <c r="N63" s="1"/>
    </row>
    <row r="64" spans="2:14" ht="18" customHeight="1" thickBot="1">
      <c r="B64" s="30"/>
      <c r="C64" s="1" t="s">
        <v>554</v>
      </c>
      <c r="D64" s="1"/>
      <c r="E64" s="1"/>
      <c r="F64" s="1"/>
      <c r="G64" s="1"/>
      <c r="H64" s="1"/>
      <c r="I64" s="216"/>
      <c r="J64" s="1"/>
      <c r="K64" s="31"/>
      <c r="L64" s="1"/>
      <c r="M64" s="1"/>
      <c r="N64" s="1"/>
    </row>
    <row r="65" spans="2:14" ht="18" customHeight="1" thickBot="1">
      <c r="B65" s="30"/>
      <c r="C65" s="1"/>
      <c r="D65" s="3" t="s">
        <v>555</v>
      </c>
      <c r="E65" s="1" t="s">
        <v>556</v>
      </c>
      <c r="F65" s="1"/>
      <c r="G65" s="72"/>
      <c r="H65" s="1" t="s">
        <v>557</v>
      </c>
      <c r="I65" s="22">
        <f>INT(+I9*算出表用テーブル!I76)</f>
        <v>0</v>
      </c>
      <c r="J65" s="1"/>
      <c r="K65" s="31"/>
      <c r="L65" s="1"/>
      <c r="M65" s="1"/>
      <c r="N65" s="1"/>
    </row>
    <row r="66" spans="2:14" ht="18" customHeight="1">
      <c r="B66" s="30"/>
      <c r="C66" s="1"/>
      <c r="D66" s="1" t="s">
        <v>558</v>
      </c>
      <c r="E66" s="1"/>
      <c r="F66" s="1"/>
      <c r="G66" s="1"/>
      <c r="H66" s="1"/>
      <c r="I66" s="26"/>
      <c r="J66" s="1"/>
      <c r="K66" s="31"/>
      <c r="L66" s="1"/>
      <c r="M66" s="1"/>
      <c r="N66" s="1"/>
    </row>
    <row r="67" spans="2:14" ht="18" customHeight="1">
      <c r="B67" s="30"/>
      <c r="C67" s="1"/>
      <c r="D67" s="3"/>
      <c r="E67" s="1"/>
      <c r="F67" s="1"/>
      <c r="G67" s="1"/>
      <c r="H67" s="1"/>
      <c r="I67" s="1"/>
      <c r="J67" s="1"/>
      <c r="K67" s="31"/>
      <c r="L67" s="1"/>
      <c r="M67" s="1"/>
      <c r="N67" s="1"/>
    </row>
    <row r="68" spans="2:14" ht="18" customHeight="1">
      <c r="B68" s="30"/>
      <c r="C68" s="1"/>
      <c r="D68" s="3" t="s">
        <v>559</v>
      </c>
      <c r="E68" s="20" t="s">
        <v>148</v>
      </c>
      <c r="F68" s="1"/>
      <c r="G68" s="1"/>
      <c r="H68" s="1"/>
      <c r="I68" s="1"/>
      <c r="J68" s="1"/>
      <c r="K68" s="31"/>
      <c r="L68" s="1"/>
      <c r="M68" s="1"/>
      <c r="N68" s="1"/>
    </row>
    <row r="69" spans="2:14" ht="18" customHeight="1">
      <c r="B69" s="30"/>
      <c r="C69" s="1"/>
      <c r="D69" s="1" t="s">
        <v>560</v>
      </c>
      <c r="E69" s="20" t="s">
        <v>561</v>
      </c>
      <c r="F69" s="1" t="s">
        <v>562</v>
      </c>
      <c r="G69" s="1"/>
      <c r="H69" s="1"/>
      <c r="I69" s="1"/>
      <c r="J69" s="1"/>
      <c r="K69" s="31"/>
      <c r="L69" s="1"/>
      <c r="M69" s="1"/>
      <c r="N69" s="1"/>
    </row>
    <row r="70" spans="2:14" ht="18" customHeight="1">
      <c r="B70" s="30"/>
      <c r="C70" s="1"/>
      <c r="D70" s="3"/>
      <c r="E70" s="20" t="s">
        <v>528</v>
      </c>
      <c r="F70" s="1" t="s">
        <v>334</v>
      </c>
      <c r="G70" s="1"/>
      <c r="H70" s="1"/>
      <c r="I70" s="1"/>
      <c r="J70" s="1"/>
      <c r="K70" s="31"/>
      <c r="L70" s="1"/>
      <c r="M70" s="1"/>
      <c r="N70" s="1"/>
    </row>
    <row r="71" spans="2:14" ht="18" customHeight="1">
      <c r="B71" s="30"/>
      <c r="C71" s="1"/>
      <c r="D71" s="3"/>
      <c r="E71" s="20" t="s">
        <v>520</v>
      </c>
      <c r="F71" s="1" t="s">
        <v>336</v>
      </c>
      <c r="G71" s="1"/>
      <c r="H71" s="1"/>
      <c r="I71" s="1"/>
      <c r="J71" s="1"/>
      <c r="K71" s="31"/>
      <c r="L71" s="1"/>
      <c r="M71" s="1"/>
      <c r="N71" s="1"/>
    </row>
    <row r="72" spans="2:14" ht="18" customHeight="1">
      <c r="B72" s="30"/>
      <c r="C72" s="1"/>
      <c r="D72" s="3"/>
      <c r="E72" s="20" t="s">
        <v>563</v>
      </c>
      <c r="F72" s="1" t="s">
        <v>564</v>
      </c>
      <c r="G72" s="1"/>
      <c r="H72" s="1"/>
      <c r="I72" s="1"/>
      <c r="J72" s="1"/>
      <c r="K72" s="31"/>
      <c r="L72" s="1"/>
      <c r="M72" s="1"/>
      <c r="N72" s="1"/>
    </row>
    <row r="73" spans="2:14" ht="18" customHeight="1">
      <c r="B73" s="30"/>
      <c r="C73" s="1"/>
      <c r="D73" s="3"/>
      <c r="E73" s="20" t="s">
        <v>565</v>
      </c>
      <c r="F73" s="1" t="s">
        <v>566</v>
      </c>
      <c r="G73" s="1"/>
      <c r="H73" s="1"/>
      <c r="I73" s="1"/>
      <c r="J73" s="1"/>
      <c r="K73" s="31"/>
      <c r="L73" s="1"/>
      <c r="M73" s="1"/>
      <c r="N73" s="1"/>
    </row>
    <row r="74" spans="2:14" ht="18" customHeight="1" thickBot="1">
      <c r="B74" s="30"/>
      <c r="C74" s="1"/>
      <c r="D74" s="3"/>
      <c r="E74" s="1"/>
      <c r="F74" s="1"/>
      <c r="G74" s="1"/>
      <c r="H74" s="1"/>
      <c r="I74" s="1"/>
      <c r="J74" s="1"/>
      <c r="K74" s="31"/>
      <c r="L74" s="1"/>
      <c r="M74" s="1"/>
      <c r="N74" s="1"/>
    </row>
    <row r="75" spans="2:14" ht="18" customHeight="1" thickBot="1">
      <c r="B75" s="30"/>
      <c r="C75" s="1"/>
      <c r="D75" s="3"/>
      <c r="E75" s="1"/>
      <c r="F75" s="20" t="s">
        <v>510</v>
      </c>
      <c r="G75" s="224"/>
      <c r="H75" s="1"/>
      <c r="I75" s="225">
        <f>+算出表用テーブル!J83</f>
        <v>0</v>
      </c>
      <c r="J75" s="1"/>
      <c r="K75" s="31"/>
      <c r="L75" s="1"/>
      <c r="M75" s="1"/>
      <c r="N75" s="1"/>
    </row>
    <row r="76" spans="2:14" ht="18" customHeight="1">
      <c r="B76" s="30"/>
      <c r="C76" s="1"/>
      <c r="D76" s="3"/>
      <c r="E76" s="1"/>
      <c r="F76" s="1"/>
      <c r="G76" s="1"/>
      <c r="H76" s="1"/>
      <c r="I76" s="1"/>
      <c r="J76" s="1"/>
      <c r="K76" s="31"/>
      <c r="L76" s="1"/>
      <c r="M76" s="1"/>
      <c r="N76" s="1"/>
    </row>
    <row r="77" spans="2:14" ht="18" customHeight="1">
      <c r="B77" s="30"/>
      <c r="C77" s="1"/>
      <c r="D77" s="3" t="s">
        <v>567</v>
      </c>
      <c r="E77" s="20" t="s">
        <v>148</v>
      </c>
      <c r="F77" s="1"/>
      <c r="G77" s="1"/>
      <c r="H77" s="1"/>
      <c r="I77" s="1"/>
      <c r="J77" s="1"/>
      <c r="K77" s="31"/>
      <c r="L77" s="1"/>
      <c r="M77" s="1"/>
      <c r="N77" s="1"/>
    </row>
    <row r="78" spans="2:14" ht="18" customHeight="1">
      <c r="B78" s="30"/>
      <c r="C78" s="1"/>
      <c r="D78" s="1" t="s">
        <v>568</v>
      </c>
      <c r="E78" s="20" t="s">
        <v>569</v>
      </c>
      <c r="F78" s="1" t="s">
        <v>570</v>
      </c>
      <c r="G78" s="1"/>
      <c r="H78" s="1"/>
      <c r="I78" s="1"/>
      <c r="J78" s="1"/>
      <c r="K78" s="31"/>
      <c r="L78" s="1"/>
      <c r="M78" s="1"/>
      <c r="N78" s="1"/>
    </row>
    <row r="79" spans="2:14" ht="18" customHeight="1">
      <c r="B79" s="30"/>
      <c r="C79" s="1"/>
      <c r="D79" s="424" t="s">
        <v>571</v>
      </c>
      <c r="E79" s="20" t="s">
        <v>572</v>
      </c>
      <c r="F79" s="1" t="s">
        <v>573</v>
      </c>
      <c r="G79" s="1"/>
      <c r="H79" s="1"/>
      <c r="I79" s="1"/>
      <c r="J79" s="1"/>
      <c r="K79" s="31"/>
      <c r="L79" s="1"/>
      <c r="M79" s="1"/>
      <c r="N79" s="1"/>
    </row>
    <row r="80" spans="2:14" ht="18" customHeight="1">
      <c r="B80" s="30"/>
      <c r="C80" s="1"/>
      <c r="D80" s="425"/>
      <c r="E80" s="20" t="s">
        <v>574</v>
      </c>
      <c r="F80" s="1" t="s">
        <v>575</v>
      </c>
      <c r="G80" s="1"/>
      <c r="H80" s="1"/>
      <c r="I80" s="1"/>
      <c r="J80" s="1"/>
      <c r="K80" s="31"/>
      <c r="L80" s="1"/>
      <c r="M80" s="1"/>
      <c r="N80" s="1"/>
    </row>
    <row r="81" spans="2:14" ht="18" customHeight="1" thickBot="1">
      <c r="B81" s="30"/>
      <c r="C81" s="1"/>
      <c r="D81" s="425"/>
      <c r="E81" s="1"/>
      <c r="F81" s="1"/>
      <c r="G81" s="1"/>
      <c r="H81" s="1"/>
      <c r="I81" s="1"/>
      <c r="J81" s="1"/>
      <c r="K81" s="31"/>
      <c r="L81" s="1"/>
      <c r="M81" s="1"/>
      <c r="N81" s="1"/>
    </row>
    <row r="82" spans="2:14" ht="18" customHeight="1" thickBot="1">
      <c r="B82" s="30"/>
      <c r="C82" s="1"/>
      <c r="D82" s="425"/>
      <c r="E82" s="1"/>
      <c r="F82" s="20" t="s">
        <v>510</v>
      </c>
      <c r="G82" s="224"/>
      <c r="H82" s="1"/>
      <c r="I82" s="225">
        <f>+算出表用テーブル!J90</f>
        <v>0</v>
      </c>
      <c r="J82" s="1"/>
      <c r="K82" s="31"/>
      <c r="L82" s="1"/>
      <c r="M82" s="1"/>
      <c r="N82" s="1"/>
    </row>
    <row r="83" spans="2:14" ht="18" customHeight="1" thickBot="1">
      <c r="B83" s="30"/>
      <c r="C83" s="1"/>
      <c r="D83" s="25"/>
      <c r="E83" s="1"/>
      <c r="F83" s="20"/>
      <c r="G83" s="1"/>
      <c r="H83" s="1"/>
      <c r="I83" s="1"/>
      <c r="J83" s="1"/>
      <c r="K83" s="31"/>
      <c r="L83" s="1"/>
      <c r="M83" s="1"/>
      <c r="N83" s="1"/>
    </row>
    <row r="84" spans="2:14" ht="18" customHeight="1" thickBot="1">
      <c r="B84" s="30"/>
      <c r="C84" s="1"/>
      <c r="D84" s="1" t="s">
        <v>576</v>
      </c>
      <c r="E84" s="1"/>
      <c r="F84" s="1"/>
      <c r="G84" s="1"/>
      <c r="H84" s="1"/>
      <c r="I84" s="225">
        <f>+I65+I75+I82</f>
        <v>0</v>
      </c>
      <c r="J84" s="1"/>
      <c r="K84" s="31"/>
      <c r="L84" s="1"/>
      <c r="M84" s="1"/>
      <c r="N84" s="1"/>
    </row>
    <row r="85" spans="2:14" ht="18" customHeight="1" thickBot="1">
      <c r="B85" s="30"/>
      <c r="C85" s="1"/>
      <c r="D85" s="1"/>
      <c r="E85" s="1"/>
      <c r="F85" s="1"/>
      <c r="G85" s="1"/>
      <c r="H85" s="1"/>
      <c r="I85" s="1"/>
      <c r="J85" s="1"/>
      <c r="K85" s="31"/>
      <c r="L85" s="1"/>
      <c r="M85" s="1"/>
      <c r="N85" s="1"/>
    </row>
    <row r="86" spans="2:14" ht="18" customHeight="1" thickBot="1">
      <c r="B86" s="30"/>
      <c r="C86" s="1"/>
      <c r="D86" s="1" t="s">
        <v>577</v>
      </c>
      <c r="E86" s="1"/>
      <c r="F86" s="1"/>
      <c r="G86" s="1"/>
      <c r="H86" s="1"/>
      <c r="I86" s="225">
        <f>+I62+I84</f>
        <v>0</v>
      </c>
      <c r="J86" s="1"/>
      <c r="K86" s="31"/>
      <c r="L86" s="1"/>
      <c r="M86" s="1"/>
      <c r="N86" s="1"/>
    </row>
    <row r="87" spans="2:14" ht="18" customHeight="1">
      <c r="B87" s="30"/>
      <c r="C87" s="1"/>
      <c r="D87" s="1"/>
      <c r="E87" s="1"/>
      <c r="F87" s="1"/>
      <c r="G87" s="1"/>
      <c r="H87" s="1"/>
      <c r="I87" s="216"/>
      <c r="J87" s="1"/>
      <c r="K87" s="31"/>
      <c r="L87" s="1"/>
      <c r="M87" s="1"/>
      <c r="N87" s="1"/>
    </row>
    <row r="88" spans="2:14" ht="18" customHeight="1">
      <c r="B88" s="30"/>
      <c r="C88" s="1" t="s">
        <v>578</v>
      </c>
      <c r="D88" s="1"/>
      <c r="E88" s="1"/>
      <c r="F88" s="1"/>
      <c r="G88" s="1"/>
      <c r="H88" s="1"/>
      <c r="I88" s="216"/>
      <c r="J88" s="1"/>
      <c r="K88" s="31"/>
      <c r="L88" s="1"/>
      <c r="M88" s="1"/>
      <c r="N88" s="1"/>
    </row>
    <row r="89" spans="2:14" ht="18" customHeight="1" thickBot="1">
      <c r="B89" s="30"/>
      <c r="C89" s="1"/>
      <c r="D89" s="1" t="s">
        <v>579</v>
      </c>
      <c r="E89" s="1"/>
      <c r="F89" s="1"/>
      <c r="G89" s="1"/>
      <c r="H89" s="1"/>
      <c r="I89" s="226">
        <f>+I9+I24+I86</f>
        <v>0</v>
      </c>
      <c r="J89" s="1"/>
      <c r="K89" s="31"/>
      <c r="L89" s="1"/>
      <c r="M89" s="1"/>
      <c r="N89" s="1"/>
    </row>
    <row r="90" spans="2:14" ht="18" customHeight="1" thickBot="1">
      <c r="B90" s="30"/>
      <c r="C90" s="1"/>
      <c r="D90" s="1"/>
      <c r="E90" s="1"/>
      <c r="F90" s="1"/>
      <c r="G90" s="1"/>
      <c r="H90" s="1"/>
      <c r="I90" s="226"/>
      <c r="J90" s="1"/>
      <c r="K90" s="31"/>
      <c r="L90" s="1"/>
      <c r="M90" s="1"/>
      <c r="N90" s="1"/>
    </row>
    <row r="91" spans="2:14" ht="14.25" thickBot="1">
      <c r="B91" s="30"/>
      <c r="C91" s="1"/>
      <c r="D91" s="1" t="s">
        <v>580</v>
      </c>
      <c r="E91" s="1"/>
      <c r="F91" s="1"/>
      <c r="G91" s="1"/>
      <c r="H91" s="1"/>
      <c r="I91" s="227"/>
      <c r="J91" s="1"/>
      <c r="K91" s="31"/>
      <c r="L91" s="1"/>
      <c r="M91" s="1"/>
      <c r="N91" s="1"/>
    </row>
    <row r="92" spans="2:14" ht="14.25" thickBot="1">
      <c r="B92" s="30"/>
      <c r="C92" s="1"/>
      <c r="D92" s="1" t="s">
        <v>581</v>
      </c>
      <c r="E92" s="1"/>
      <c r="F92" s="1"/>
      <c r="G92" s="1"/>
      <c r="H92" s="1"/>
      <c r="I92" s="227"/>
      <c r="J92" s="1"/>
      <c r="K92" s="31"/>
      <c r="L92" s="1"/>
      <c r="M92" s="1"/>
      <c r="N92" s="1"/>
    </row>
    <row r="93" spans="2:14" ht="14.25" thickBot="1">
      <c r="B93" s="30"/>
      <c r="C93" s="1"/>
      <c r="D93" s="1" t="s">
        <v>582</v>
      </c>
      <c r="E93" s="1" t="s">
        <v>583</v>
      </c>
      <c r="F93" s="1"/>
      <c r="G93" s="1"/>
      <c r="H93" s="1"/>
      <c r="I93" s="223">
        <f>IF(I89&gt;0,-150,0)</f>
        <v>0</v>
      </c>
      <c r="J93" s="1"/>
      <c r="K93" s="31"/>
      <c r="L93" s="1"/>
      <c r="M93" s="1"/>
      <c r="N93" s="1"/>
    </row>
    <row r="94" spans="2:14" ht="14.25" thickBot="1">
      <c r="B94" s="30"/>
      <c r="C94" s="1"/>
      <c r="D94" s="1" t="s">
        <v>584</v>
      </c>
      <c r="E94" s="1"/>
      <c r="F94" s="1"/>
      <c r="G94" s="1"/>
      <c r="H94" s="1"/>
      <c r="I94" s="223">
        <f>SUM(I91:I93)</f>
        <v>0</v>
      </c>
      <c r="J94" s="1"/>
      <c r="K94" s="31"/>
      <c r="L94" s="1"/>
      <c r="M94" s="1"/>
      <c r="N94" s="1"/>
    </row>
    <row r="95" spans="2:14">
      <c r="B95" s="30"/>
      <c r="C95" s="1"/>
      <c r="D95" s="1"/>
      <c r="E95" s="1"/>
      <c r="F95" s="1"/>
      <c r="G95" s="1"/>
      <c r="H95" s="1"/>
      <c r="I95" s="1"/>
      <c r="J95" s="1"/>
      <c r="K95" s="31"/>
      <c r="L95" s="1"/>
      <c r="M95" s="1"/>
      <c r="N95" s="1"/>
    </row>
    <row r="96" spans="2:14" ht="14.25" thickBot="1">
      <c r="B96" s="30"/>
      <c r="C96" s="1"/>
      <c r="D96" s="1" t="s">
        <v>585</v>
      </c>
      <c r="E96" s="1"/>
      <c r="F96" s="1"/>
      <c r="G96" s="1"/>
      <c r="H96" s="1"/>
      <c r="I96" s="226">
        <f>I89+I94</f>
        <v>0</v>
      </c>
      <c r="J96" s="1"/>
      <c r="K96" s="31"/>
      <c r="L96" s="1"/>
      <c r="M96" s="1"/>
      <c r="N96" s="1"/>
    </row>
    <row r="97" spans="2:13" ht="14.25" thickBot="1">
      <c r="B97" s="32"/>
      <c r="C97" s="33"/>
      <c r="D97" s="33"/>
      <c r="E97" s="33"/>
      <c r="F97" s="33"/>
      <c r="G97" s="33"/>
      <c r="H97" s="33"/>
      <c r="I97" s="33"/>
      <c r="J97" s="33"/>
      <c r="K97" s="36"/>
      <c r="L97" s="1"/>
      <c r="M97" s="1"/>
    </row>
    <row r="98" spans="2:13" ht="14.25" thickTop="1"/>
  </sheetData>
  <mergeCells count="7">
    <mergeCell ref="D54:D57"/>
    <mergeCell ref="D79:D82"/>
    <mergeCell ref="E5:J5"/>
    <mergeCell ref="E6:J6"/>
    <mergeCell ref="D38:D41"/>
    <mergeCell ref="D31:D34"/>
    <mergeCell ref="F30:J30"/>
  </mergeCells>
  <phoneticPr fontId="2"/>
  <pageMargins left="1.1811023622047245" right="0.78740157480314965" top="0.39370078740157483" bottom="0.39370078740157483" header="0.51181102362204722" footer="0.51181102362204722"/>
  <pageSetup paperSize="9" fitToWidth="2" fitToHeight="2"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3"/>
  <dimension ref="B1:L92"/>
  <sheetViews>
    <sheetView showGridLines="0" showZeros="0" zoomScaleNormal="100" workbookViewId="0"/>
  </sheetViews>
  <sheetFormatPr defaultRowHeight="13.5"/>
  <cols>
    <col min="1" max="1" width="2.625" customWidth="1"/>
    <col min="2" max="2" width="12.625" customWidth="1"/>
    <col min="4" max="4" width="10.75" customWidth="1"/>
    <col min="6" max="6" width="12.5" customWidth="1"/>
    <col min="8" max="8" width="10.25" customWidth="1"/>
    <col min="9" max="9" width="10.75" customWidth="1"/>
    <col min="10" max="10" width="10.375" customWidth="1"/>
    <col min="11" max="11" width="2.625" customWidth="1"/>
  </cols>
  <sheetData>
    <row r="1" spans="2:12" ht="14.25" thickBot="1"/>
    <row r="2" spans="2:12" ht="14.25" thickBot="1">
      <c r="B2" s="72"/>
      <c r="C2" s="10" t="s">
        <v>422</v>
      </c>
      <c r="G2" s="4" t="s">
        <v>423</v>
      </c>
      <c r="H2" s="8" t="s">
        <v>424</v>
      </c>
      <c r="I2" s="8" t="s">
        <v>29</v>
      </c>
      <c r="J2" s="8" t="s">
        <v>425</v>
      </c>
    </row>
    <row r="3" spans="2:12">
      <c r="G3" t="s">
        <v>426</v>
      </c>
      <c r="H3" s="7"/>
      <c r="I3" s="7"/>
      <c r="J3" s="7"/>
    </row>
    <row r="4" spans="2:12">
      <c r="B4" s="447" t="s">
        <v>427</v>
      </c>
      <c r="C4" s="447"/>
    </row>
    <row r="5" spans="2:12">
      <c r="B5" s="5" t="s">
        <v>644</v>
      </c>
      <c r="C5" s="5" t="s">
        <v>428</v>
      </c>
      <c r="G5" s="5" t="s">
        <v>429</v>
      </c>
      <c r="H5" s="5" t="s">
        <v>645</v>
      </c>
      <c r="I5" s="5" t="s">
        <v>645</v>
      </c>
      <c r="J5" s="6"/>
    </row>
    <row r="6" spans="2:12" ht="45" customHeight="1">
      <c r="B6" s="6"/>
      <c r="C6" s="6"/>
      <c r="G6" s="6"/>
      <c r="H6" s="6"/>
      <c r="I6" s="6"/>
      <c r="J6" s="6"/>
    </row>
    <row r="7" spans="2:12" ht="14.25" thickBot="1"/>
    <row r="8" spans="2:12" ht="14.25" thickBot="1">
      <c r="B8" s="448" t="s">
        <v>629</v>
      </c>
      <c r="C8" s="448"/>
      <c r="D8" t="s">
        <v>218</v>
      </c>
      <c r="G8" s="426" t="str">
        <f>[0]!依頼所属名</f>
        <v>道路・橋梁部</v>
      </c>
      <c r="H8" s="427"/>
      <c r="I8" s="428"/>
      <c r="J8" t="s">
        <v>430</v>
      </c>
    </row>
    <row r="9" spans="2:12">
      <c r="B9" s="9"/>
    </row>
    <row r="11" spans="2:12" ht="17.25">
      <c r="B11" s="449" t="s">
        <v>431</v>
      </c>
      <c r="C11" s="449"/>
      <c r="D11" s="449"/>
      <c r="E11" s="449"/>
      <c r="F11" s="449"/>
      <c r="G11" s="449"/>
      <c r="H11" s="449"/>
      <c r="I11" s="449"/>
      <c r="J11" s="449"/>
    </row>
    <row r="12" spans="2:12" ht="14.25" thickBot="1"/>
    <row r="13" spans="2:12" ht="14.25" thickBot="1">
      <c r="B13" t="s">
        <v>432</v>
      </c>
      <c r="D13" s="439" t="str">
        <f>[0]!WorkSubjectNameJ</f>
        <v>ベトナム国ハノイ環状3号線整備事業（マイジックｰ南タンロン区間）</v>
      </c>
      <c r="E13" s="440"/>
      <c r="F13" s="440"/>
      <c r="G13" s="440"/>
      <c r="H13" s="440"/>
      <c r="I13" s="440"/>
      <c r="J13" s="441"/>
    </row>
    <row r="14" spans="2:12" ht="14.25" thickBot="1"/>
    <row r="15" spans="2:12" ht="14.25" thickBot="1">
      <c r="B15" t="s">
        <v>433</v>
      </c>
      <c r="D15" s="444" t="str">
        <f>[0]!WorkSubjectCode</f>
        <v>JA15R1003</v>
      </c>
      <c r="E15" s="445"/>
      <c r="F15" s="446"/>
      <c r="H15" t="s">
        <v>434</v>
      </c>
      <c r="I15" s="443" t="s">
        <v>662</v>
      </c>
      <c r="J15" s="443"/>
      <c r="L15" s="212" t="s">
        <v>237</v>
      </c>
    </row>
    <row r="16" spans="2:12">
      <c r="D16" s="39"/>
      <c r="E16" s="39"/>
      <c r="F16" s="39"/>
      <c r="I16" s="39"/>
      <c r="J16" s="40"/>
      <c r="L16" s="212" t="s">
        <v>255</v>
      </c>
    </row>
    <row r="17" spans="2:12">
      <c r="I17" s="41"/>
      <c r="J17" s="41"/>
      <c r="L17" s="213"/>
    </row>
    <row r="18" spans="2:12" ht="14.25" thickBot="1">
      <c r="B18" t="s">
        <v>435</v>
      </c>
      <c r="D18" s="442" t="str">
        <f>+算出表!E5</f>
        <v>田中　健治</v>
      </c>
      <c r="E18" s="442"/>
      <c r="F18" s="442"/>
      <c r="H18" t="s">
        <v>436</v>
      </c>
      <c r="I18" s="443"/>
      <c r="J18" s="443"/>
      <c r="L18" s="214" t="s">
        <v>174</v>
      </c>
    </row>
    <row r="19" spans="2:12">
      <c r="D19" s="40"/>
      <c r="E19" s="40"/>
      <c r="F19" s="40"/>
      <c r="I19" s="39"/>
      <c r="J19" s="39"/>
      <c r="L19" s="214" t="s">
        <v>175</v>
      </c>
    </row>
    <row r="20" spans="2:12">
      <c r="L20" s="214" t="s">
        <v>176</v>
      </c>
    </row>
    <row r="21" spans="2:12" ht="14.25" thickBot="1">
      <c r="B21" t="s">
        <v>437</v>
      </c>
      <c r="D21" s="442" t="str">
        <f>+算出表!E6</f>
        <v>有限責任事業組合インフラ・アセット・エンジニアリング</v>
      </c>
      <c r="E21" s="442"/>
      <c r="F21" s="442"/>
      <c r="G21" s="442"/>
      <c r="L21" s="214" t="s">
        <v>177</v>
      </c>
    </row>
    <row r="23" spans="2:12" ht="14.25" thickBot="1">
      <c r="B23" t="s">
        <v>438</v>
      </c>
      <c r="E23" s="435"/>
      <c r="F23" s="435"/>
      <c r="G23" t="s">
        <v>439</v>
      </c>
    </row>
    <row r="24" spans="2:12">
      <c r="E24" s="215"/>
      <c r="F24" s="215"/>
    </row>
    <row r="25" spans="2:12" ht="14.25" thickBot="1">
      <c r="B25" t="s">
        <v>440</v>
      </c>
      <c r="E25" s="435">
        <f>+算出表!I94</f>
        <v>0</v>
      </c>
      <c r="F25" s="435"/>
      <c r="G25" t="s">
        <v>439</v>
      </c>
      <c r="H25" s="436">
        <f>IF($E$23=0,0,+E25/$E$23*100)</f>
        <v>0</v>
      </c>
      <c r="I25" s="436" t="e">
        <f>+F25/F23*100</f>
        <v>#DIV/0!</v>
      </c>
      <c r="J25" t="s">
        <v>441</v>
      </c>
    </row>
    <row r="26" spans="2:12">
      <c r="E26" s="216"/>
      <c r="F26" s="216"/>
      <c r="H26" s="1"/>
      <c r="I26" s="15"/>
    </row>
    <row r="27" spans="2:12" ht="14.25" thickBot="1">
      <c r="B27" t="s">
        <v>442</v>
      </c>
      <c r="D27" s="16" t="s">
        <v>443</v>
      </c>
      <c r="E27" s="435">
        <f>+算出表!I93</f>
        <v>0</v>
      </c>
      <c r="F27" s="435"/>
      <c r="G27" t="s">
        <v>444</v>
      </c>
      <c r="H27" s="436">
        <f>IF($E$23=0,0,+E27/$E$23*100)</f>
        <v>0</v>
      </c>
      <c r="I27" s="436" t="e">
        <f>+F27/F25*100</f>
        <v>#DIV/0!</v>
      </c>
      <c r="J27" t="s">
        <v>445</v>
      </c>
    </row>
    <row r="28" spans="2:12">
      <c r="D28" s="16"/>
      <c r="E28" s="216"/>
      <c r="F28" s="216"/>
      <c r="H28" s="1"/>
      <c r="I28" s="15"/>
    </row>
    <row r="29" spans="2:12" ht="14.25" thickBot="1">
      <c r="B29" t="s">
        <v>446</v>
      </c>
      <c r="D29" s="16"/>
      <c r="E29" s="435">
        <f>+E25-E27</f>
        <v>0</v>
      </c>
      <c r="F29" s="435"/>
      <c r="G29" t="s">
        <v>439</v>
      </c>
      <c r="H29" s="436">
        <f>IF($E$23=0,0,+E29/$E$23*100)</f>
        <v>0</v>
      </c>
      <c r="I29" s="436" t="e">
        <f>+F29/F27*100</f>
        <v>#DIV/0!</v>
      </c>
      <c r="J29" t="s">
        <v>441</v>
      </c>
    </row>
    <row r="30" spans="2:12">
      <c r="E30" s="215"/>
      <c r="F30" s="215"/>
    </row>
    <row r="31" spans="2:12">
      <c r="E31" s="215"/>
      <c r="F31" s="215"/>
      <c r="H31" t="s">
        <v>28</v>
      </c>
      <c r="I31" t="s">
        <v>447</v>
      </c>
    </row>
    <row r="32" spans="2:12" ht="14.25" thickBot="1">
      <c r="B32" t="s">
        <v>448</v>
      </c>
      <c r="E32" s="435">
        <f>+E23+E27+E29</f>
        <v>0</v>
      </c>
      <c r="F32" s="435"/>
      <c r="G32" t="s">
        <v>449</v>
      </c>
      <c r="H32" s="6"/>
      <c r="I32" s="55"/>
    </row>
    <row r="33" spans="2:10" ht="14.25" thickBot="1">
      <c r="E33" s="216"/>
      <c r="F33" s="216"/>
      <c r="G33" s="16"/>
    </row>
    <row r="34" spans="2:10" ht="14.25" thickBot="1">
      <c r="B34" t="s">
        <v>450</v>
      </c>
      <c r="E34" s="437"/>
      <c r="F34" s="438"/>
      <c r="G34" t="s">
        <v>439</v>
      </c>
    </row>
    <row r="36" spans="2:10" ht="14.25" thickBot="1">
      <c r="B36" t="s">
        <v>451</v>
      </c>
      <c r="E36" s="436">
        <f>IF(E34=0,0,+E32/E34)*100</f>
        <v>0</v>
      </c>
      <c r="F36" s="436"/>
      <c r="G36" t="s">
        <v>452</v>
      </c>
    </row>
    <row r="37" spans="2:10">
      <c r="E37" s="217"/>
      <c r="F37" s="218"/>
    </row>
    <row r="38" spans="2:10">
      <c r="B38" s="19" t="s">
        <v>453</v>
      </c>
      <c r="E38" s="217"/>
      <c r="F38" s="218"/>
    </row>
    <row r="39" spans="2:10" ht="14.25" thickBot="1">
      <c r="E39" s="217"/>
      <c r="F39" s="218"/>
    </row>
    <row r="40" spans="2:10" ht="14.25" thickBot="1">
      <c r="B40" t="s">
        <v>454</v>
      </c>
      <c r="E40" s="433"/>
      <c r="F40" s="434"/>
      <c r="G40" t="s">
        <v>439</v>
      </c>
      <c r="H40" s="17"/>
    </row>
    <row r="41" spans="2:10" ht="14.25" thickBot="1">
      <c r="E41" s="217"/>
      <c r="F41" s="218"/>
    </row>
    <row r="42" spans="2:10" ht="14.25" thickBot="1">
      <c r="B42" t="s">
        <v>455</v>
      </c>
      <c r="E42" s="433"/>
      <c r="F42" s="434"/>
      <c r="G42" t="s">
        <v>439</v>
      </c>
      <c r="H42" s="430" t="s">
        <v>456</v>
      </c>
      <c r="I42" s="430"/>
      <c r="J42" s="430"/>
    </row>
    <row r="43" spans="2:10">
      <c r="E43" s="217"/>
      <c r="F43" s="218"/>
      <c r="H43" s="430"/>
      <c r="I43" s="430"/>
      <c r="J43" s="430"/>
    </row>
    <row r="44" spans="2:10" ht="14.25" thickBot="1">
      <c r="E44" s="217"/>
      <c r="F44" s="218"/>
    </row>
    <row r="45" spans="2:10" ht="14.25" thickBot="1">
      <c r="B45" t="s">
        <v>457</v>
      </c>
      <c r="E45" s="431">
        <f>+E32+E40</f>
        <v>0</v>
      </c>
      <c r="F45" s="432"/>
      <c r="H45" s="7" t="s">
        <v>458</v>
      </c>
      <c r="I45" s="46">
        <f>IF(E45=0,0,IF((E34+E42)=0,0,+E45/(E34+E42)))</f>
        <v>0</v>
      </c>
    </row>
    <row r="46" spans="2:10" ht="14.25" thickBot="1">
      <c r="E46" s="219"/>
      <c r="F46" s="219"/>
    </row>
    <row r="47" spans="2:10" ht="14.25" thickBot="1">
      <c r="B47" t="s">
        <v>459</v>
      </c>
      <c r="E47" s="220"/>
      <c r="F47" t="s">
        <v>460</v>
      </c>
      <c r="G47" s="433"/>
      <c r="H47" s="434"/>
      <c r="I47" t="s">
        <v>439</v>
      </c>
    </row>
    <row r="48" spans="2:10">
      <c r="E48" s="47" t="s">
        <v>461</v>
      </c>
      <c r="F48" s="218"/>
    </row>
    <row r="49" spans="2:8">
      <c r="E49" s="217"/>
      <c r="F49" s="218"/>
    </row>
    <row r="50" spans="2:8">
      <c r="E50" s="217"/>
      <c r="F50" s="218"/>
    </row>
    <row r="51" spans="2:8">
      <c r="E51" s="217"/>
      <c r="F51" s="221" t="s">
        <v>462</v>
      </c>
      <c r="G51" t="s">
        <v>463</v>
      </c>
      <c r="H51" t="s">
        <v>464</v>
      </c>
    </row>
    <row r="52" spans="2:8">
      <c r="E52" s="217"/>
      <c r="F52" s="218"/>
    </row>
    <row r="53" spans="2:8">
      <c r="E53" s="217"/>
      <c r="F53" s="218"/>
    </row>
    <row r="54" spans="2:8">
      <c r="E54" s="217"/>
      <c r="F54" s="218"/>
    </row>
    <row r="55" spans="2:8">
      <c r="E55" s="217"/>
      <c r="F55" s="218"/>
    </row>
    <row r="56" spans="2:8">
      <c r="E56" s="217"/>
      <c r="F56" s="218"/>
    </row>
    <row r="57" spans="2:8">
      <c r="E57" s="217"/>
      <c r="F57" s="218"/>
    </row>
    <row r="58" spans="2:8">
      <c r="E58" s="217"/>
      <c r="F58" s="218"/>
    </row>
    <row r="59" spans="2:8">
      <c r="E59" s="217"/>
      <c r="F59" s="218"/>
    </row>
    <row r="60" spans="2:8">
      <c r="E60" s="217"/>
      <c r="F60" s="218"/>
    </row>
    <row r="61" spans="2:8">
      <c r="E61" s="217"/>
      <c r="F61" s="218"/>
    </row>
    <row r="62" spans="2:8">
      <c r="E62" s="217"/>
      <c r="F62" s="218"/>
    </row>
    <row r="63" spans="2:8" ht="17.25">
      <c r="B63" s="21" t="s">
        <v>465</v>
      </c>
      <c r="E63" s="217"/>
      <c r="F63" s="218"/>
    </row>
    <row r="64" spans="2:8">
      <c r="E64" s="217"/>
      <c r="F64" s="218"/>
    </row>
    <row r="65" spans="2:11">
      <c r="E65" s="217"/>
      <c r="F65" s="218"/>
    </row>
    <row r="66" spans="2:11">
      <c r="B66" t="s">
        <v>466</v>
      </c>
      <c r="C66" s="14" t="s">
        <v>478</v>
      </c>
      <c r="D66" s="403" t="s">
        <v>750</v>
      </c>
    </row>
    <row r="67" spans="2:11">
      <c r="B67" s="4" t="s">
        <v>467</v>
      </c>
      <c r="C67" s="14" t="s">
        <v>468</v>
      </c>
      <c r="D67" t="s">
        <v>469</v>
      </c>
    </row>
    <row r="68" spans="2:11">
      <c r="B68" s="4" t="s">
        <v>470</v>
      </c>
      <c r="C68" s="14" t="s">
        <v>471</v>
      </c>
      <c r="D68" t="s">
        <v>472</v>
      </c>
      <c r="E68" s="430"/>
      <c r="F68" s="430"/>
      <c r="G68" s="430"/>
      <c r="H68" s="430"/>
      <c r="I68" s="430"/>
      <c r="J68" s="430"/>
      <c r="K68" t="s">
        <v>473</v>
      </c>
    </row>
    <row r="69" spans="2:11">
      <c r="B69" s="4"/>
      <c r="F69" s="14"/>
      <c r="G69" s="14"/>
      <c r="H69" s="14"/>
    </row>
    <row r="70" spans="2:11">
      <c r="B70" s="4"/>
      <c r="D70" t="s">
        <v>474</v>
      </c>
      <c r="F70" s="18" t="s">
        <v>28</v>
      </c>
      <c r="G70" s="14" t="s">
        <v>475</v>
      </c>
      <c r="H70" s="18" t="s">
        <v>45</v>
      </c>
      <c r="I70" s="14" t="s">
        <v>475</v>
      </c>
      <c r="J70" s="18" t="s">
        <v>476</v>
      </c>
    </row>
    <row r="71" spans="2:11">
      <c r="B71" s="4"/>
      <c r="F71" s="18"/>
      <c r="G71" s="14"/>
      <c r="H71" s="18"/>
      <c r="I71" s="14"/>
      <c r="J71" s="18"/>
    </row>
    <row r="72" spans="2:11">
      <c r="B72" s="4"/>
      <c r="F72" s="18" t="s">
        <v>477</v>
      </c>
      <c r="G72" s="14" t="s">
        <v>478</v>
      </c>
      <c r="H72" s="18" t="s">
        <v>479</v>
      </c>
      <c r="I72" s="14" t="s">
        <v>480</v>
      </c>
      <c r="J72" s="18" t="s">
        <v>481</v>
      </c>
    </row>
    <row r="73" spans="2:11">
      <c r="B73" s="4"/>
      <c r="F73" s="18"/>
      <c r="G73" s="14" t="s">
        <v>480</v>
      </c>
      <c r="H73" s="18" t="s">
        <v>482</v>
      </c>
    </row>
    <row r="74" spans="2:11">
      <c r="B74" s="4"/>
      <c r="F74" s="14"/>
      <c r="G74" s="14"/>
      <c r="H74" s="14"/>
    </row>
    <row r="75" spans="2:11">
      <c r="B75" t="s">
        <v>483</v>
      </c>
      <c r="C75" s="14" t="s">
        <v>484</v>
      </c>
      <c r="D75" s="403" t="s">
        <v>485</v>
      </c>
    </row>
    <row r="76" spans="2:11">
      <c r="B76" s="4" t="s">
        <v>467</v>
      </c>
      <c r="C76" s="14" t="s">
        <v>468</v>
      </c>
      <c r="D76" t="s">
        <v>469</v>
      </c>
    </row>
    <row r="77" spans="2:11">
      <c r="B77" s="4" t="s">
        <v>470</v>
      </c>
      <c r="C77" s="14" t="s">
        <v>471</v>
      </c>
      <c r="D77" t="s">
        <v>472</v>
      </c>
      <c r="E77" s="430"/>
      <c r="F77" s="430"/>
      <c r="G77" s="430"/>
      <c r="H77" s="430"/>
      <c r="I77" s="430"/>
      <c r="J77" s="430"/>
    </row>
    <row r="78" spans="2:11">
      <c r="B78" s="4"/>
      <c r="F78" s="14"/>
      <c r="G78" s="14"/>
      <c r="H78" s="14"/>
    </row>
    <row r="79" spans="2:11">
      <c r="B79" s="4"/>
      <c r="D79" t="s">
        <v>474</v>
      </c>
      <c r="F79" s="18" t="s">
        <v>28</v>
      </c>
      <c r="G79" s="14" t="s">
        <v>475</v>
      </c>
      <c r="H79" s="18" t="s">
        <v>45</v>
      </c>
      <c r="I79" s="14" t="s">
        <v>475</v>
      </c>
      <c r="J79" s="18" t="s">
        <v>476</v>
      </c>
    </row>
    <row r="80" spans="2:11">
      <c r="B80" s="4"/>
      <c r="F80" s="18"/>
      <c r="G80" s="14"/>
      <c r="H80" s="18"/>
      <c r="I80" s="14"/>
      <c r="J80" s="18"/>
    </row>
    <row r="81" spans="2:10">
      <c r="B81" s="4"/>
      <c r="F81" s="18" t="s">
        <v>477</v>
      </c>
      <c r="G81" s="14" t="s">
        <v>478</v>
      </c>
      <c r="H81" s="18" t="s">
        <v>479</v>
      </c>
      <c r="I81" s="14" t="s">
        <v>480</v>
      </c>
      <c r="J81" s="18" t="s">
        <v>481</v>
      </c>
    </row>
    <row r="82" spans="2:10">
      <c r="B82" s="4"/>
      <c r="F82" s="18"/>
      <c r="G82" s="14" t="s">
        <v>480</v>
      </c>
      <c r="H82" s="18" t="s">
        <v>482</v>
      </c>
    </row>
    <row r="84" spans="2:10">
      <c r="B84" t="s">
        <v>486</v>
      </c>
      <c r="D84" s="4" t="s">
        <v>487</v>
      </c>
    </row>
    <row r="85" spans="2:10">
      <c r="D85" s="4" t="s">
        <v>488</v>
      </c>
    </row>
    <row r="87" spans="2:10">
      <c r="D87" s="222"/>
      <c r="E87" s="222"/>
      <c r="F87" s="222"/>
      <c r="G87" s="222"/>
      <c r="H87" s="222"/>
      <c r="I87" s="222"/>
      <c r="J87" s="222"/>
    </row>
    <row r="88" spans="2:10">
      <c r="D88" s="222"/>
      <c r="E88" s="222"/>
      <c r="F88" s="222"/>
      <c r="G88" s="222"/>
      <c r="H88" s="222"/>
      <c r="I88" s="222"/>
      <c r="J88" s="222"/>
    </row>
    <row r="89" spans="2:10">
      <c r="D89" s="222"/>
      <c r="E89" s="222"/>
      <c r="F89" s="222"/>
      <c r="G89" s="222"/>
      <c r="H89" s="222"/>
      <c r="I89" s="222"/>
      <c r="J89" s="222"/>
    </row>
    <row r="90" spans="2:10">
      <c r="D90" s="222"/>
      <c r="E90" s="222"/>
      <c r="F90" s="222"/>
      <c r="G90" s="222"/>
      <c r="H90" s="222"/>
      <c r="I90" s="222"/>
      <c r="J90" s="222"/>
    </row>
    <row r="91" spans="2:10">
      <c r="D91" s="222"/>
      <c r="E91" s="222"/>
      <c r="F91" s="222"/>
      <c r="G91" s="222"/>
      <c r="H91" s="222"/>
      <c r="I91" s="222"/>
      <c r="J91" s="222"/>
    </row>
    <row r="92" spans="2:10">
      <c r="D92" s="222"/>
      <c r="E92" s="222"/>
      <c r="F92" s="222"/>
      <c r="G92" s="222"/>
      <c r="H92" s="222"/>
      <c r="I92" s="222"/>
      <c r="J92" s="222"/>
    </row>
  </sheetData>
  <mergeCells count="27">
    <mergeCell ref="B4:C4"/>
    <mergeCell ref="B8:C8"/>
    <mergeCell ref="B11:J11"/>
    <mergeCell ref="E23:F23"/>
    <mergeCell ref="D21:G21"/>
    <mergeCell ref="G8:I8"/>
    <mergeCell ref="E25:F25"/>
    <mergeCell ref="H25:I25"/>
    <mergeCell ref="D13:J13"/>
    <mergeCell ref="D18:F18"/>
    <mergeCell ref="I15:J15"/>
    <mergeCell ref="D15:F15"/>
    <mergeCell ref="I18:J18"/>
    <mergeCell ref="E27:F27"/>
    <mergeCell ref="H27:I27"/>
    <mergeCell ref="E42:F42"/>
    <mergeCell ref="H42:J43"/>
    <mergeCell ref="H29:I29"/>
    <mergeCell ref="E36:F36"/>
    <mergeCell ref="E29:F29"/>
    <mergeCell ref="E32:F32"/>
    <mergeCell ref="E34:F34"/>
    <mergeCell ref="E77:J77"/>
    <mergeCell ref="E68:J68"/>
    <mergeCell ref="E45:F45"/>
    <mergeCell ref="E40:F40"/>
    <mergeCell ref="G47:H47"/>
  </mergeCells>
  <phoneticPr fontId="2"/>
  <dataValidations count="2">
    <dataValidation type="list" allowBlank="1" showInputMessage="1" showErrorMessage="1" sqref="I15">
      <formula1>$L$15:$L$16</formula1>
    </dataValidation>
    <dataValidation type="list" allowBlank="1" showInputMessage="1" showErrorMessage="1" sqref="I18:J18">
      <formula1>$L$18:$L$21</formula1>
    </dataValidation>
  </dataValidations>
  <pageMargins left="0.59055118110236227" right="0.78740157480314965" top="1.3779527559055118" bottom="0.39370078740157483" header="0.51181102362204722" footer="0.51181102362204722"/>
  <pageSetup paperSize="9" scale="90"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Sheet8"/>
  <dimension ref="C5:M44"/>
  <sheetViews>
    <sheetView workbookViewId="0"/>
  </sheetViews>
  <sheetFormatPr defaultRowHeight="13.5"/>
  <sheetData>
    <row r="5" spans="3:13">
      <c r="C5" s="451" t="str">
        <f>IF([0]!ContractorName&lt;&gt;"",[0]!ContractorName,"")</f>
        <v>有限責任事業組合インフラ・アセット・エンジニアリング</v>
      </c>
      <c r="D5" s="451"/>
      <c r="E5" s="451"/>
      <c r="F5" s="451"/>
      <c r="G5" t="s">
        <v>218</v>
      </c>
    </row>
    <row r="8" spans="3:13" ht="17.25">
      <c r="J8" s="21" t="str">
        <f>IF(外注付託依頼書!AQ49&lt;&gt;"",外注付託依頼書!AQ49,"日本工営株式会社")</f>
        <v>日本工営株式会社</v>
      </c>
      <c r="K8" s="21"/>
    </row>
    <row r="9" spans="3:13" ht="17.25">
      <c r="J9" s="454" t="str">
        <f>IF(外注付託依頼書!AQ50&lt;&gt;"",外注付託依頼書!AQ50,"コンサルタント海外事業本部")</f>
        <v>コンサルタント海外事業本部</v>
      </c>
      <c r="K9" s="454"/>
      <c r="L9" s="454"/>
    </row>
    <row r="10" spans="3:13" ht="13.5" customHeight="1">
      <c r="J10" s="453" t="str">
        <f>IF(外注付託依頼書!AQ51&lt;&gt;"",外注付託依頼書!AQ51,"事業本部長")</f>
        <v>事業本部長</v>
      </c>
      <c r="K10" s="455" t="str">
        <f>IF(外注付託依頼書!AQ52&lt;&gt;"",外注付託依頼書!AQ52,"")</f>
        <v/>
      </c>
      <c r="L10" s="455"/>
      <c r="M10" s="66"/>
    </row>
    <row r="11" spans="3:13" ht="13.5" customHeight="1">
      <c r="J11" s="453"/>
      <c r="K11" s="455"/>
      <c r="L11" s="455"/>
      <c r="M11" s="66"/>
    </row>
    <row r="12" spans="3:13" ht="17.25">
      <c r="J12" s="4"/>
      <c r="K12" s="66"/>
      <c r="L12" s="66"/>
      <c r="M12" s="66"/>
    </row>
    <row r="13" spans="3:13" ht="18.75">
      <c r="C13" s="456" t="s">
        <v>181</v>
      </c>
      <c r="D13" s="456"/>
      <c r="E13" s="456"/>
      <c r="F13" s="456"/>
      <c r="G13" s="456"/>
      <c r="H13" s="456"/>
      <c r="I13" s="456"/>
      <c r="J13" s="456"/>
      <c r="K13" s="456"/>
      <c r="L13" s="456"/>
    </row>
    <row r="15" spans="3:13">
      <c r="C15" s="450" t="str">
        <f>IF([0]!DispatchPersonName&lt;&gt;"",[0]!DispatchPersonName,"")</f>
        <v>田中　健治</v>
      </c>
      <c r="D15" s="450"/>
      <c r="E15" s="452" t="s">
        <v>620</v>
      </c>
      <c r="F15" s="452"/>
      <c r="G15" s="452"/>
      <c r="H15" s="452"/>
      <c r="I15" s="452"/>
      <c r="J15" s="452"/>
      <c r="K15" s="452"/>
      <c r="L15" s="452"/>
    </row>
    <row r="16" spans="3:13">
      <c r="C16" s="76"/>
      <c r="D16" s="76"/>
      <c r="E16" s="76"/>
      <c r="F16" s="76"/>
      <c r="G16" s="76"/>
      <c r="H16" s="76"/>
      <c r="I16" s="76"/>
      <c r="J16" s="76"/>
      <c r="K16" s="76"/>
      <c r="L16" s="76"/>
    </row>
    <row r="18" spans="3:12">
      <c r="C18" s="448" t="s">
        <v>182</v>
      </c>
      <c r="D18" s="448"/>
      <c r="E18" s="448"/>
      <c r="F18" s="448"/>
      <c r="G18" s="448"/>
      <c r="H18" s="448"/>
      <c r="I18" s="448"/>
      <c r="J18" s="448"/>
      <c r="K18" s="448"/>
      <c r="L18" s="448"/>
    </row>
    <row r="20" spans="3:12">
      <c r="C20" t="s">
        <v>183</v>
      </c>
      <c r="E20" s="451" t="str">
        <f>IF([0]!担当業務&lt;&gt;"",[0]!担当業務,"")</f>
        <v>Cost Estimator</v>
      </c>
      <c r="F20" s="451"/>
      <c r="G20" s="451"/>
      <c r="H20" s="451"/>
      <c r="I20" s="451"/>
      <c r="J20" s="451"/>
      <c r="K20" s="451"/>
      <c r="L20" s="451"/>
    </row>
    <row r="22" spans="3:12">
      <c r="C22" t="s">
        <v>184</v>
      </c>
      <c r="E22" s="457"/>
      <c r="F22" s="457"/>
      <c r="G22" s="457"/>
      <c r="H22" s="457"/>
      <c r="I22" s="457"/>
      <c r="J22" s="457"/>
      <c r="K22" s="457"/>
      <c r="L22" s="457"/>
    </row>
    <row r="23" spans="3:12">
      <c r="E23" s="450"/>
      <c r="F23" s="450"/>
      <c r="G23" s="450"/>
      <c r="H23" s="450"/>
      <c r="I23" s="450"/>
      <c r="J23" s="450"/>
      <c r="K23" s="450"/>
      <c r="L23" s="450"/>
    </row>
    <row r="24" spans="3:12">
      <c r="E24" s="450"/>
      <c r="F24" s="450"/>
      <c r="G24" s="450"/>
      <c r="H24" s="450"/>
      <c r="I24" s="450"/>
      <c r="J24" s="450"/>
      <c r="K24" s="450"/>
      <c r="L24" s="450"/>
    </row>
    <row r="25" spans="3:12">
      <c r="E25" s="450"/>
      <c r="F25" s="450"/>
      <c r="G25" s="450"/>
      <c r="H25" s="450"/>
      <c r="I25" s="450"/>
      <c r="J25" s="450"/>
      <c r="K25" s="450"/>
      <c r="L25" s="450"/>
    </row>
    <row r="26" spans="3:12">
      <c r="E26" s="450"/>
      <c r="F26" s="450"/>
      <c r="G26" s="450"/>
      <c r="H26" s="450"/>
      <c r="I26" s="450"/>
      <c r="J26" s="450"/>
      <c r="K26" s="450"/>
      <c r="L26" s="450"/>
    </row>
    <row r="27" spans="3:12">
      <c r="E27" s="450"/>
      <c r="F27" s="450"/>
      <c r="G27" s="450"/>
      <c r="H27" s="450"/>
      <c r="I27" s="450"/>
      <c r="J27" s="450"/>
      <c r="K27" s="450"/>
      <c r="L27" s="450"/>
    </row>
    <row r="28" spans="3:12">
      <c r="E28" s="450"/>
      <c r="F28" s="450"/>
      <c r="G28" s="450"/>
      <c r="H28" s="450"/>
      <c r="I28" s="450"/>
      <c r="J28" s="450"/>
      <c r="K28" s="450"/>
      <c r="L28" s="450"/>
    </row>
    <row r="29" spans="3:12">
      <c r="E29" s="450"/>
      <c r="F29" s="450"/>
      <c r="G29" s="450"/>
      <c r="H29" s="450"/>
      <c r="I29" s="450"/>
      <c r="J29" s="450"/>
      <c r="K29" s="450"/>
      <c r="L29" s="450"/>
    </row>
    <row r="30" spans="3:12">
      <c r="E30" s="450"/>
      <c r="F30" s="450"/>
      <c r="G30" s="450"/>
      <c r="H30" s="450"/>
      <c r="I30" s="450"/>
      <c r="J30" s="450"/>
      <c r="K30" s="450"/>
      <c r="L30" s="450"/>
    </row>
    <row r="31" spans="3:12">
      <c r="E31" s="450"/>
      <c r="F31" s="450"/>
      <c r="G31" s="450"/>
      <c r="H31" s="450"/>
      <c r="I31" s="450"/>
      <c r="J31" s="450"/>
      <c r="K31" s="450"/>
      <c r="L31" s="450"/>
    </row>
    <row r="32" spans="3:12">
      <c r="E32" s="450"/>
      <c r="F32" s="450"/>
      <c r="G32" s="450"/>
      <c r="H32" s="450"/>
      <c r="I32" s="450"/>
      <c r="J32" s="450"/>
      <c r="K32" s="450"/>
      <c r="L32" s="450"/>
    </row>
    <row r="33" spans="4:12">
      <c r="E33" s="450"/>
      <c r="F33" s="450"/>
      <c r="G33" s="450"/>
      <c r="H33" s="450"/>
      <c r="I33" s="450"/>
      <c r="J33" s="450"/>
      <c r="K33" s="450"/>
      <c r="L33" s="450"/>
    </row>
    <row r="34" spans="4:12">
      <c r="E34" s="450"/>
      <c r="F34" s="450"/>
      <c r="G34" s="450"/>
      <c r="H34" s="450"/>
      <c r="I34" s="450"/>
      <c r="J34" s="450"/>
      <c r="K34" s="450"/>
      <c r="L34" s="450"/>
    </row>
    <row r="35" spans="4:12">
      <c r="E35" s="450"/>
      <c r="F35" s="450"/>
      <c r="G35" s="450"/>
      <c r="H35" s="450"/>
      <c r="I35" s="450"/>
      <c r="J35" s="450"/>
      <c r="K35" s="450"/>
      <c r="L35" s="450"/>
    </row>
    <row r="36" spans="4:12">
      <c r="E36" s="450"/>
      <c r="F36" s="450"/>
      <c r="G36" s="450"/>
      <c r="H36" s="450"/>
      <c r="I36" s="450"/>
      <c r="J36" s="450"/>
      <c r="K36" s="450"/>
      <c r="L36" s="450"/>
    </row>
    <row r="37" spans="4:12">
      <c r="E37" s="450"/>
      <c r="F37" s="450"/>
      <c r="G37" s="450"/>
      <c r="H37" s="450"/>
      <c r="I37" s="450"/>
      <c r="J37" s="450"/>
      <c r="K37" s="450"/>
      <c r="L37" s="450"/>
    </row>
    <row r="38" spans="4:12">
      <c r="E38" s="450"/>
      <c r="F38" s="450"/>
      <c r="G38" s="450"/>
      <c r="H38" s="450"/>
      <c r="I38" s="450"/>
      <c r="J38" s="450"/>
      <c r="K38" s="450"/>
      <c r="L38" s="450"/>
    </row>
    <row r="40" spans="4:12">
      <c r="L40" t="s">
        <v>185</v>
      </c>
    </row>
    <row r="43" spans="4:12">
      <c r="D43" s="430" t="s">
        <v>186</v>
      </c>
      <c r="E43" s="430"/>
      <c r="F43" s="430"/>
      <c r="G43" s="430"/>
      <c r="H43" s="430"/>
      <c r="I43" s="430"/>
      <c r="J43" s="430"/>
      <c r="K43" s="430"/>
    </row>
    <row r="44" spans="4:12">
      <c r="D44" s="430"/>
      <c r="E44" s="430"/>
      <c r="F44" s="430"/>
      <c r="G44" s="430"/>
      <c r="H44" s="430"/>
      <c r="I44" s="430"/>
      <c r="J44" s="430"/>
      <c r="K44" s="430"/>
    </row>
  </sheetData>
  <mergeCells count="27">
    <mergeCell ref="D43:K44"/>
    <mergeCell ref="C13:L13"/>
    <mergeCell ref="E35:L35"/>
    <mergeCell ref="E36:L36"/>
    <mergeCell ref="E37:L37"/>
    <mergeCell ref="E38:L38"/>
    <mergeCell ref="E22:L22"/>
    <mergeCell ref="E31:L31"/>
    <mergeCell ref="E32:L32"/>
    <mergeCell ref="E23:L23"/>
    <mergeCell ref="E24:L24"/>
    <mergeCell ref="E33:L33"/>
    <mergeCell ref="E34:L34"/>
    <mergeCell ref="E29:L29"/>
    <mergeCell ref="E30:L30"/>
    <mergeCell ref="E25:L25"/>
    <mergeCell ref="E26:L26"/>
    <mergeCell ref="E27:L27"/>
    <mergeCell ref="E28:L28"/>
    <mergeCell ref="C5:F5"/>
    <mergeCell ref="C18:L18"/>
    <mergeCell ref="E20:L20"/>
    <mergeCell ref="C15:D15"/>
    <mergeCell ref="E15:L15"/>
    <mergeCell ref="J10:J11"/>
    <mergeCell ref="J9:L9"/>
    <mergeCell ref="K10:L11"/>
  </mergeCells>
  <phoneticPr fontId="2"/>
  <printOptions horizontalCentered="1"/>
  <pageMargins left="0.59055118110236227" right="0.59055118110236227" top="0.98425196850393704" bottom="0.98425196850393704" header="0.51181102362204722" footer="0.51181102362204722"/>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5">
    <tabColor rgb="FFFF0000"/>
  </sheetPr>
  <dimension ref="A1:CE143"/>
  <sheetViews>
    <sheetView showGridLines="0" showZeros="0" tabSelected="1" topLeftCell="A2" zoomScaleNormal="100" workbookViewId="0">
      <selection activeCell="AP14" sqref="AP14"/>
    </sheetView>
  </sheetViews>
  <sheetFormatPr defaultColWidth="3.875" defaultRowHeight="13.5"/>
  <cols>
    <col min="1" max="1" width="3.25" style="82" customWidth="1"/>
    <col min="2" max="2" width="2.875" style="82" customWidth="1"/>
    <col min="3" max="5" width="3.875" style="82" customWidth="1"/>
    <col min="6" max="6" width="4.25" style="82" customWidth="1"/>
    <col min="7" max="7" width="3" style="82" customWidth="1"/>
    <col min="8" max="8" width="3.125" style="82" customWidth="1"/>
    <col min="9" max="9" width="2.5" style="82" bestFit="1" customWidth="1"/>
    <col min="10" max="10" width="3.25" style="82" customWidth="1"/>
    <col min="11" max="11" width="2.5" style="82" bestFit="1" customWidth="1"/>
    <col min="12" max="12" width="5.5" style="82" customWidth="1"/>
    <col min="13" max="13" width="2.5" style="82" bestFit="1" customWidth="1"/>
    <col min="14" max="14" width="3.625" style="82" customWidth="1"/>
    <col min="15" max="15" width="2.5" style="82" bestFit="1" customWidth="1"/>
    <col min="16" max="16" width="3.875" style="82" customWidth="1"/>
    <col min="17" max="17" width="2.125" style="82" bestFit="1" customWidth="1"/>
    <col min="18" max="18" width="5.875" style="82" customWidth="1"/>
    <col min="19" max="19" width="2.125" style="82" bestFit="1" customWidth="1"/>
    <col min="20" max="20" width="3.875" style="82" customWidth="1"/>
    <col min="21" max="21" width="7.5" style="82" bestFit="1" customWidth="1"/>
    <col min="22" max="22" width="2.625" style="82" customWidth="1"/>
    <col min="23" max="24" width="3.875" style="82" customWidth="1"/>
    <col min="25" max="25" width="7.125" style="82" customWidth="1"/>
    <col min="26" max="26" width="8.875" style="82" customWidth="1"/>
    <col min="27" max="27" width="6.25" style="82" customWidth="1"/>
    <col min="28" max="28" width="6.75" style="82" customWidth="1"/>
    <col min="29" max="29" width="5.5" style="82" customWidth="1"/>
    <col min="30" max="35" width="6.75" style="82" customWidth="1"/>
    <col min="36" max="36" width="8.375" style="82" bestFit="1" customWidth="1"/>
    <col min="37" max="41" width="3.875" style="82" customWidth="1"/>
    <col min="42" max="42" width="8" style="82" customWidth="1"/>
    <col min="43" max="43" width="5" style="82" bestFit="1" customWidth="1"/>
    <col min="44" max="44" width="4" style="82" bestFit="1" customWidth="1"/>
    <col min="45" max="45" width="3.875" style="82" customWidth="1"/>
    <col min="46" max="46" width="4" style="82" bestFit="1" customWidth="1"/>
    <col min="47" max="47" width="5.25" style="82" bestFit="1" customWidth="1"/>
    <col min="48" max="48" width="3.375" style="82" bestFit="1" customWidth="1"/>
    <col min="49" max="52" width="3.875" style="82" customWidth="1"/>
    <col min="53" max="53" width="12.75" style="82" bestFit="1" customWidth="1"/>
    <col min="54" max="54" width="27.25" style="82" bestFit="1" customWidth="1"/>
    <col min="55" max="82" width="3.875" style="82"/>
    <col min="83" max="83" width="3.875" style="82" customWidth="1"/>
    <col min="84" max="16384" width="3.875" style="82"/>
  </cols>
  <sheetData>
    <row r="1" spans="1:72" hidden="1">
      <c r="B1" s="86"/>
      <c r="C1" s="86"/>
      <c r="D1" s="86"/>
      <c r="E1" s="86"/>
      <c r="F1" s="86"/>
      <c r="G1" s="407"/>
      <c r="H1" s="407"/>
      <c r="I1" s="407"/>
      <c r="J1" s="63"/>
    </row>
    <row r="2" spans="1:72">
      <c r="B2" s="86"/>
      <c r="C2" s="566"/>
      <c r="D2" s="566"/>
      <c r="E2" s="86"/>
      <c r="F2" s="86"/>
      <c r="G2" s="407"/>
      <c r="H2" s="407"/>
      <c r="I2" s="407"/>
      <c r="J2" s="63"/>
    </row>
    <row r="3" spans="1:72" ht="18.75" customHeight="1">
      <c r="A3" s="228" t="s">
        <v>586</v>
      </c>
      <c r="B3" s="86"/>
      <c r="C3" s="618"/>
      <c r="D3" s="618"/>
      <c r="E3" s="709" t="s">
        <v>755</v>
      </c>
      <c r="F3" s="709"/>
      <c r="G3" s="709"/>
      <c r="H3" s="709"/>
      <c r="I3" s="709"/>
      <c r="J3" s="709"/>
      <c r="K3" s="709"/>
      <c r="L3" s="709"/>
      <c r="AE3" s="683" t="s">
        <v>235</v>
      </c>
      <c r="AF3" s="683"/>
      <c r="AG3" s="684" t="s">
        <v>769</v>
      </c>
      <c r="AH3" s="684"/>
      <c r="AI3" s="684"/>
    </row>
    <row r="4" spans="1:72" ht="14.25" customHeight="1">
      <c r="A4" s="228" t="s">
        <v>587</v>
      </c>
      <c r="B4" s="86"/>
      <c r="C4" s="618"/>
      <c r="D4" s="618"/>
      <c r="E4" s="86"/>
      <c r="F4" s="86"/>
      <c r="G4" s="407"/>
      <c r="H4" s="407"/>
      <c r="I4" s="407"/>
      <c r="J4" s="63"/>
      <c r="AE4" s="82" t="s">
        <v>751</v>
      </c>
    </row>
    <row r="5" spans="1:72" ht="14.25" customHeight="1" thickBot="1">
      <c r="A5" s="228" t="s">
        <v>588</v>
      </c>
      <c r="B5" s="86"/>
      <c r="C5" s="618"/>
      <c r="D5" s="618"/>
      <c r="E5" s="86"/>
      <c r="F5" s="86"/>
      <c r="G5" s="407"/>
      <c r="H5" s="407"/>
      <c r="I5" s="407"/>
      <c r="J5" s="63"/>
      <c r="P5" s="458" t="s">
        <v>756</v>
      </c>
      <c r="Q5" s="459"/>
      <c r="R5" s="459"/>
      <c r="S5" s="459"/>
      <c r="T5" s="459"/>
      <c r="U5" s="459"/>
      <c r="V5" s="459"/>
      <c r="W5" s="459"/>
      <c r="X5" s="459"/>
      <c r="Y5" s="459"/>
      <c r="Z5" s="460"/>
    </row>
    <row r="6" spans="1:72" ht="17.45" customHeight="1" thickBot="1">
      <c r="A6" s="228" t="s">
        <v>589</v>
      </c>
      <c r="B6" s="86"/>
      <c r="C6" s="618"/>
      <c r="D6" s="618"/>
      <c r="E6" s="86"/>
      <c r="F6" s="86"/>
      <c r="G6" s="407"/>
      <c r="H6" s="407"/>
      <c r="I6" s="407"/>
      <c r="J6" s="63"/>
      <c r="P6" s="461"/>
      <c r="Q6" s="462"/>
      <c r="R6" s="462"/>
      <c r="S6" s="462"/>
      <c r="T6" s="462"/>
      <c r="U6" s="462"/>
      <c r="V6" s="462"/>
      <c r="W6" s="462"/>
      <c r="X6" s="462"/>
      <c r="Y6" s="462"/>
      <c r="Z6" s="463"/>
      <c r="AE6" s="685" t="s">
        <v>72</v>
      </c>
      <c r="AF6" s="686"/>
      <c r="AG6" s="689">
        <v>42422</v>
      </c>
      <c r="AH6" s="690"/>
      <c r="AI6" s="691"/>
    </row>
    <row r="7" spans="1:72" ht="17.45" customHeight="1" thickBot="1">
      <c r="A7" s="228" t="s">
        <v>590</v>
      </c>
      <c r="B7" s="86"/>
      <c r="C7" s="86"/>
      <c r="D7" s="86"/>
      <c r="E7" s="86"/>
      <c r="F7" s="86"/>
      <c r="G7" s="407"/>
      <c r="H7" s="407"/>
      <c r="I7" s="407"/>
      <c r="J7" s="63"/>
      <c r="W7" s="84" t="s">
        <v>74</v>
      </c>
      <c r="AE7" s="685" t="s">
        <v>169</v>
      </c>
      <c r="AF7" s="686"/>
      <c r="AG7" s="693"/>
      <c r="AH7" s="694"/>
      <c r="AI7" s="695"/>
    </row>
    <row r="8" spans="1:72" ht="17.45" customHeight="1" thickBot="1">
      <c r="A8" s="228" t="s">
        <v>591</v>
      </c>
      <c r="B8" s="65"/>
      <c r="C8" s="65">
        <v>0</v>
      </c>
      <c r="D8" s="65"/>
      <c r="E8" s="65"/>
      <c r="F8" s="65"/>
      <c r="G8" s="81"/>
      <c r="H8" s="81"/>
      <c r="I8" s="81"/>
      <c r="L8" s="83"/>
      <c r="R8" s="83"/>
      <c r="U8" s="408"/>
      <c r="V8" s="409"/>
      <c r="W8" s="409"/>
      <c r="X8" s="409"/>
      <c r="Y8" s="409"/>
      <c r="AE8" s="685" t="s">
        <v>73</v>
      </c>
      <c r="AF8" s="686"/>
      <c r="AG8" s="693"/>
      <c r="AH8" s="694"/>
      <c r="AI8" s="695"/>
    </row>
    <row r="9" spans="1:72" ht="19.5" customHeight="1">
      <c r="B9" s="65"/>
      <c r="C9" s="65">
        <v>0</v>
      </c>
      <c r="D9" s="65"/>
      <c r="E9" s="65"/>
      <c r="F9" s="65"/>
      <c r="G9" s="81"/>
      <c r="H9" s="81"/>
      <c r="I9" s="81"/>
      <c r="BF9" s="107" t="s">
        <v>697</v>
      </c>
      <c r="BG9" s="464"/>
      <c r="BH9" s="465"/>
      <c r="BI9" s="466"/>
    </row>
    <row r="10" spans="1:72" ht="19.5" customHeight="1">
      <c r="B10" s="65"/>
      <c r="C10" s="65"/>
      <c r="D10" s="65"/>
      <c r="E10" s="65"/>
      <c r="F10" s="65"/>
      <c r="G10" s="81"/>
      <c r="H10" s="81"/>
      <c r="I10" s="81"/>
      <c r="L10" s="84"/>
      <c r="R10" s="84"/>
      <c r="U10" s="84"/>
      <c r="AE10" s="80"/>
      <c r="AF10" s="80"/>
      <c r="BF10" s="107" t="s">
        <v>389</v>
      </c>
      <c r="BG10" s="252"/>
      <c r="BH10" s="244"/>
      <c r="BI10" s="244"/>
      <c r="BJ10" s="244"/>
      <c r="BK10" s="244"/>
      <c r="BL10" s="244"/>
      <c r="BM10" s="244"/>
      <c r="BN10" s="244"/>
      <c r="BO10" s="244"/>
      <c r="BP10" s="244"/>
      <c r="BQ10" s="244"/>
      <c r="BR10" s="244"/>
      <c r="BS10" s="244"/>
      <c r="BT10" s="246"/>
    </row>
    <row r="11" spans="1:72" ht="19.5" customHeight="1">
      <c r="B11" s="65"/>
      <c r="C11" s="65"/>
      <c r="D11" s="65"/>
      <c r="E11" s="65"/>
      <c r="F11" s="65"/>
      <c r="G11" s="81"/>
      <c r="H11" s="81"/>
      <c r="I11" s="81"/>
      <c r="AE11" s="696" t="s">
        <v>170</v>
      </c>
      <c r="AF11" s="696"/>
      <c r="AG11" s="477" t="s">
        <v>763</v>
      </c>
      <c r="AH11" s="477"/>
      <c r="AI11" s="477"/>
      <c r="BF11" s="107" t="s">
        <v>698</v>
      </c>
      <c r="BG11" s="252"/>
      <c r="BH11" s="244"/>
      <c r="BI11" s="244"/>
      <c r="BJ11" s="244"/>
      <c r="BK11" s="244"/>
      <c r="BL11" s="244"/>
      <c r="BM11" s="244"/>
      <c r="BN11" s="244"/>
      <c r="BO11" s="244"/>
      <c r="BP11" s="244"/>
      <c r="BQ11" s="244"/>
      <c r="BR11" s="244"/>
      <c r="BS11" s="244"/>
      <c r="BT11" s="246"/>
    </row>
    <row r="12" spans="1:72" ht="19.5" customHeight="1">
      <c r="B12" s="65"/>
      <c r="C12" s="65"/>
      <c r="D12" s="65"/>
      <c r="E12" s="65"/>
      <c r="F12" s="65"/>
      <c r="G12" s="81"/>
      <c r="H12" s="81"/>
      <c r="I12" s="81"/>
      <c r="AE12" s="697" t="s">
        <v>173</v>
      </c>
      <c r="AF12" s="697"/>
      <c r="AG12" s="692" t="s">
        <v>764</v>
      </c>
      <c r="AH12" s="692"/>
      <c r="AI12" s="692"/>
      <c r="BF12" s="107" t="s">
        <v>699</v>
      </c>
      <c r="BG12" s="252"/>
      <c r="BH12" s="244"/>
      <c r="BI12" s="244"/>
      <c r="BJ12" s="244"/>
      <c r="BK12" s="244"/>
      <c r="BL12" s="244"/>
      <c r="BM12" s="244"/>
      <c r="BN12" s="244"/>
      <c r="BO12" s="244"/>
      <c r="BP12" s="244"/>
      <c r="BQ12" s="244"/>
      <c r="BR12" s="244"/>
      <c r="BS12" s="244"/>
      <c r="BT12" s="246"/>
    </row>
    <row r="13" spans="1:72" ht="19.5" customHeight="1">
      <c r="B13" s="65"/>
      <c r="C13" s="65"/>
      <c r="D13" s="65"/>
      <c r="E13" s="65"/>
      <c r="F13" s="65"/>
      <c r="G13" s="81"/>
      <c r="H13" s="81"/>
      <c r="I13" s="81"/>
      <c r="AE13" s="697" t="s">
        <v>172</v>
      </c>
      <c r="AF13" s="697"/>
      <c r="AG13" s="692" t="s">
        <v>765</v>
      </c>
      <c r="AH13" s="692"/>
      <c r="AI13" s="692"/>
    </row>
    <row r="14" spans="1:72" ht="19.5" customHeight="1">
      <c r="B14" s="65"/>
      <c r="C14" s="103" t="s">
        <v>238</v>
      </c>
      <c r="D14" s="65"/>
      <c r="E14" s="85"/>
      <c r="F14" s="65"/>
      <c r="G14" s="81"/>
      <c r="H14" s="81"/>
      <c r="I14" s="81"/>
      <c r="AE14" s="697" t="s">
        <v>171</v>
      </c>
      <c r="AF14" s="697"/>
      <c r="AG14" s="692" t="s">
        <v>766</v>
      </c>
      <c r="AH14" s="692"/>
      <c r="AI14" s="705"/>
    </row>
    <row r="15" spans="1:72" ht="15" customHeight="1">
      <c r="B15" s="65"/>
      <c r="Q15" s="86"/>
      <c r="R15" s="86"/>
      <c r="S15" s="87"/>
      <c r="T15" s="88"/>
      <c r="U15" s="88"/>
      <c r="V15" s="88"/>
      <c r="W15" s="88"/>
      <c r="X15" s="88"/>
      <c r="Y15" s="88"/>
      <c r="Z15" s="88"/>
    </row>
    <row r="16" spans="1:72" ht="15" customHeight="1">
      <c r="B16" s="65"/>
    </row>
    <row r="17" spans="2:83" ht="15" customHeight="1">
      <c r="B17" s="65"/>
    </row>
    <row r="18" spans="2:83" ht="15" customHeight="1">
      <c r="B18" s="65"/>
    </row>
    <row r="19" spans="2:83" ht="14.25" thickBot="1">
      <c r="B19" s="65"/>
      <c r="C19" s="65"/>
      <c r="D19" s="404" t="s">
        <v>752</v>
      </c>
      <c r="E19" s="65"/>
      <c r="F19" s="65"/>
      <c r="G19" s="81"/>
      <c r="H19" s="81"/>
      <c r="I19" s="81"/>
      <c r="AP19" s="592" t="s">
        <v>137</v>
      </c>
      <c r="AQ19" s="592"/>
      <c r="AR19" s="592"/>
      <c r="AS19" s="592"/>
      <c r="AT19" s="592" t="s">
        <v>138</v>
      </c>
      <c r="AU19" s="592"/>
      <c r="AV19" s="592"/>
      <c r="AW19" s="592"/>
    </row>
    <row r="20" spans="2:83" ht="21" customHeight="1" thickBot="1">
      <c r="B20" s="65"/>
      <c r="C20" s="89" t="s">
        <v>146</v>
      </c>
      <c r="D20" s="90"/>
      <c r="E20" s="90"/>
      <c r="F20" s="90"/>
      <c r="G20" s="91"/>
      <c r="H20" s="91"/>
      <c r="I20" s="91"/>
      <c r="J20" s="92"/>
      <c r="K20" s="92"/>
      <c r="L20" s="92"/>
      <c r="M20" s="92"/>
      <c r="N20" s="92"/>
      <c r="O20" s="92"/>
      <c r="P20" s="92"/>
      <c r="Q20" s="92"/>
      <c r="R20" s="92"/>
      <c r="S20" s="92"/>
      <c r="T20" s="92"/>
      <c r="U20" s="92"/>
      <c r="V20" s="92"/>
      <c r="W20" s="92"/>
      <c r="X20" s="92"/>
      <c r="Y20" s="92"/>
      <c r="Z20" s="92"/>
      <c r="AA20" s="92"/>
      <c r="AB20" s="92"/>
      <c r="AC20" s="92"/>
      <c r="AD20" s="92"/>
      <c r="AE20" s="599" t="s">
        <v>76</v>
      </c>
      <c r="AF20" s="600"/>
      <c r="AG20" s="593">
        <v>1750</v>
      </c>
      <c r="AH20" s="593"/>
      <c r="AI20" s="262" t="s">
        <v>439</v>
      </c>
      <c r="AP20" s="93" t="s">
        <v>29</v>
      </c>
      <c r="AQ20" s="93" t="s">
        <v>30</v>
      </c>
      <c r="AR20" s="93" t="s">
        <v>30</v>
      </c>
      <c r="AS20" s="93"/>
      <c r="AT20" s="93" t="s">
        <v>29</v>
      </c>
      <c r="AU20" s="93" t="s">
        <v>30</v>
      </c>
      <c r="AV20" s="93" t="s">
        <v>30</v>
      </c>
      <c r="AW20" s="93"/>
      <c r="AX20" s="94" t="s">
        <v>140</v>
      </c>
      <c r="AY20" s="94"/>
      <c r="AZ20" s="94"/>
      <c r="BA20" s="95" t="s">
        <v>140</v>
      </c>
      <c r="BB20" s="96" t="s">
        <v>86</v>
      </c>
      <c r="BD20" s="97"/>
      <c r="BF20" s="97"/>
      <c r="BG20" s="249" t="s">
        <v>28</v>
      </c>
      <c r="BH20" s="249" t="s">
        <v>32</v>
      </c>
      <c r="BI20" s="249" t="s">
        <v>33</v>
      </c>
      <c r="BJ20" s="249" t="s">
        <v>34</v>
      </c>
      <c r="BK20" s="249" t="s">
        <v>42</v>
      </c>
      <c r="BL20" s="249" t="s">
        <v>43</v>
      </c>
      <c r="BM20" s="249" t="s">
        <v>44</v>
      </c>
      <c r="BN20" s="249" t="s">
        <v>49</v>
      </c>
      <c r="BO20" s="249" t="s">
        <v>50</v>
      </c>
      <c r="BP20" s="249" t="s">
        <v>51</v>
      </c>
      <c r="BQ20" s="249" t="s">
        <v>56</v>
      </c>
      <c r="BR20" s="249" t="s">
        <v>128</v>
      </c>
      <c r="BS20" s="249" t="s">
        <v>59</v>
      </c>
      <c r="BT20" s="249" t="s">
        <v>60</v>
      </c>
      <c r="BU20" s="250" t="s">
        <v>64</v>
      </c>
      <c r="BV20" s="245" t="s">
        <v>640</v>
      </c>
      <c r="BW20" s="249" t="s">
        <v>68</v>
      </c>
      <c r="BX20" s="251" t="s">
        <v>111</v>
      </c>
      <c r="BY20" s="249" t="s">
        <v>116</v>
      </c>
      <c r="BZ20" s="249" t="s">
        <v>104</v>
      </c>
      <c r="CA20" s="249" t="s">
        <v>105</v>
      </c>
      <c r="CB20" s="250" t="s">
        <v>108</v>
      </c>
      <c r="CC20" s="250" t="s">
        <v>125</v>
      </c>
      <c r="CD20" s="244"/>
      <c r="CE20" s="101" t="s">
        <v>192</v>
      </c>
    </row>
    <row r="21" spans="2:83" ht="21" customHeight="1">
      <c r="B21" s="65"/>
      <c r="C21" s="646" t="s">
        <v>145</v>
      </c>
      <c r="D21" s="647"/>
      <c r="E21" s="647"/>
      <c r="F21" s="647"/>
      <c r="G21" s="647" t="s">
        <v>77</v>
      </c>
      <c r="H21" s="647"/>
      <c r="I21" s="647"/>
      <c r="J21" s="647"/>
      <c r="K21" s="647"/>
      <c r="L21" s="612" t="s">
        <v>770</v>
      </c>
      <c r="M21" s="613"/>
      <c r="N21" s="613"/>
      <c r="O21" s="613"/>
      <c r="P21" s="613"/>
      <c r="Q21" s="613"/>
      <c r="R21" s="613"/>
      <c r="S21" s="613"/>
      <c r="T21" s="613"/>
      <c r="U21" s="613"/>
      <c r="V21" s="613"/>
      <c r="W21" s="613"/>
      <c r="X21" s="613"/>
      <c r="Y21" s="613"/>
      <c r="Z21" s="613"/>
      <c r="AA21" s="613"/>
      <c r="AB21" s="613"/>
      <c r="AC21" s="613"/>
      <c r="AD21" s="614"/>
      <c r="AE21" s="597" t="s">
        <v>78</v>
      </c>
      <c r="AF21" s="598"/>
      <c r="AG21" s="594">
        <v>900</v>
      </c>
      <c r="AH21" s="594"/>
      <c r="AI21" s="263" t="s">
        <v>439</v>
      </c>
      <c r="AP21" s="98">
        <v>1</v>
      </c>
      <c r="AQ21" s="98">
        <v>31</v>
      </c>
      <c r="AR21" s="98">
        <v>31</v>
      </c>
      <c r="AS21" s="98"/>
      <c r="AT21" s="98">
        <v>1</v>
      </c>
      <c r="AU21" s="99">
        <v>1.03</v>
      </c>
      <c r="AV21" s="99"/>
      <c r="AW21" s="99"/>
      <c r="AX21" s="100" t="s">
        <v>141</v>
      </c>
      <c r="AY21" s="100"/>
      <c r="AZ21" s="100"/>
      <c r="BA21" s="101" t="s">
        <v>123</v>
      </c>
      <c r="BB21" s="101" t="s">
        <v>143</v>
      </c>
      <c r="BD21" s="97"/>
      <c r="BF21" s="97"/>
      <c r="BG21" s="249" t="s">
        <v>178</v>
      </c>
      <c r="BH21" s="249" t="s">
        <v>29</v>
      </c>
      <c r="BI21" s="249" t="s">
        <v>36</v>
      </c>
      <c r="BJ21" s="249" t="s">
        <v>35</v>
      </c>
      <c r="BK21" s="249" t="s">
        <v>38</v>
      </c>
      <c r="BL21" s="249" t="s">
        <v>45</v>
      </c>
      <c r="BM21" s="249" t="s">
        <v>47</v>
      </c>
      <c r="BN21" s="249" t="s">
        <v>38</v>
      </c>
      <c r="BO21" s="249" t="s">
        <v>45</v>
      </c>
      <c r="BP21" s="249" t="s">
        <v>47</v>
      </c>
      <c r="BQ21" s="249" t="s">
        <v>57</v>
      </c>
      <c r="BR21" s="249" t="s">
        <v>646</v>
      </c>
      <c r="BS21" s="249" t="s">
        <v>211</v>
      </c>
      <c r="BT21" s="249" t="s">
        <v>61</v>
      </c>
      <c r="BU21" s="250" t="s">
        <v>65</v>
      </c>
      <c r="BV21" s="245" t="s">
        <v>641</v>
      </c>
      <c r="BW21" s="249" t="s">
        <v>69</v>
      </c>
      <c r="BX21" s="249" t="s">
        <v>69</v>
      </c>
      <c r="BY21" s="249" t="s">
        <v>117</v>
      </c>
      <c r="BZ21" s="249" t="s">
        <v>69</v>
      </c>
      <c r="CA21" s="249" t="s">
        <v>69</v>
      </c>
      <c r="CB21" s="250" t="s">
        <v>150</v>
      </c>
      <c r="CC21" s="250" t="s">
        <v>126</v>
      </c>
      <c r="CD21" s="244"/>
      <c r="CE21" s="101" t="s">
        <v>724</v>
      </c>
    </row>
    <row r="22" spans="2:83" ht="21" customHeight="1" thickBot="1">
      <c r="B22" s="65"/>
      <c r="C22" s="648"/>
      <c r="D22" s="649"/>
      <c r="E22" s="649"/>
      <c r="F22" s="649"/>
      <c r="G22" s="649" t="s">
        <v>79</v>
      </c>
      <c r="H22" s="649"/>
      <c r="I22" s="649"/>
      <c r="J22" s="649"/>
      <c r="K22" s="649"/>
      <c r="L22" s="615"/>
      <c r="M22" s="616"/>
      <c r="N22" s="616"/>
      <c r="O22" s="616"/>
      <c r="P22" s="616"/>
      <c r="Q22" s="616"/>
      <c r="R22" s="616"/>
      <c r="S22" s="616"/>
      <c r="T22" s="616"/>
      <c r="U22" s="616"/>
      <c r="V22" s="616"/>
      <c r="W22" s="616"/>
      <c r="X22" s="616"/>
      <c r="Y22" s="616"/>
      <c r="Z22" s="616"/>
      <c r="AA22" s="616"/>
      <c r="AB22" s="616"/>
      <c r="AC22" s="616"/>
      <c r="AD22" s="617"/>
      <c r="AE22" s="675" t="s">
        <v>80</v>
      </c>
      <c r="AF22" s="676"/>
      <c r="AG22" s="674">
        <f>発注BR/受注BR*100</f>
        <v>51.428571428571423</v>
      </c>
      <c r="AH22" s="674"/>
      <c r="AI22" s="264" t="s">
        <v>656</v>
      </c>
      <c r="AP22" s="98">
        <v>2</v>
      </c>
      <c r="AQ22" s="98">
        <v>28</v>
      </c>
      <c r="AR22" s="98">
        <v>28</v>
      </c>
      <c r="AS22" s="98"/>
      <c r="AT22" s="98">
        <v>2</v>
      </c>
      <c r="AU22" s="99">
        <v>0.93</v>
      </c>
      <c r="AV22" s="99"/>
      <c r="AW22" s="99"/>
      <c r="AX22" s="100" t="s">
        <v>149</v>
      </c>
      <c r="AY22" s="248"/>
      <c r="AZ22" s="247"/>
      <c r="BA22" s="101" t="s">
        <v>124</v>
      </c>
      <c r="BB22" s="101" t="s">
        <v>691</v>
      </c>
      <c r="BD22" s="97"/>
      <c r="BF22" s="97"/>
      <c r="BG22" s="249" t="s">
        <v>179</v>
      </c>
      <c r="BH22" s="249" t="s">
        <v>30</v>
      </c>
      <c r="BI22" s="249" t="s">
        <v>37</v>
      </c>
      <c r="BJ22" s="249" t="s">
        <v>129</v>
      </c>
      <c r="BK22" s="249" t="s">
        <v>40</v>
      </c>
      <c r="BL22" s="249" t="s">
        <v>46</v>
      </c>
      <c r="BM22" s="249" t="s">
        <v>48</v>
      </c>
      <c r="BN22" s="249" t="s">
        <v>52</v>
      </c>
      <c r="BO22" s="249" t="s">
        <v>46</v>
      </c>
      <c r="BP22" s="249" t="s">
        <v>48</v>
      </c>
      <c r="BQ22" s="249" t="s">
        <v>130</v>
      </c>
      <c r="BR22" s="249" t="s">
        <v>647</v>
      </c>
      <c r="BS22" s="249" t="s">
        <v>212</v>
      </c>
      <c r="BT22" s="249" t="s">
        <v>62</v>
      </c>
      <c r="BU22" s="250" t="s">
        <v>66</v>
      </c>
      <c r="BV22" s="245" t="s">
        <v>642</v>
      </c>
      <c r="BW22" s="249" t="s">
        <v>71</v>
      </c>
      <c r="BX22" s="249" t="s">
        <v>71</v>
      </c>
      <c r="BY22" s="249" t="s">
        <v>118</v>
      </c>
      <c r="BZ22" s="249" t="s">
        <v>71</v>
      </c>
      <c r="CA22" s="249" t="s">
        <v>71</v>
      </c>
      <c r="CB22" s="250" t="s">
        <v>151</v>
      </c>
      <c r="CC22" s="250" t="s">
        <v>93</v>
      </c>
      <c r="CD22" s="244"/>
      <c r="CE22" s="101" t="s">
        <v>725</v>
      </c>
    </row>
    <row r="23" spans="2:83" ht="21" customHeight="1">
      <c r="B23" s="65"/>
      <c r="C23" s="648"/>
      <c r="D23" s="649"/>
      <c r="E23" s="649"/>
      <c r="F23" s="649"/>
      <c r="G23" s="649" t="s">
        <v>81</v>
      </c>
      <c r="H23" s="649"/>
      <c r="I23" s="649"/>
      <c r="J23" s="649"/>
      <c r="K23" s="649"/>
      <c r="L23" s="609"/>
      <c r="M23" s="610"/>
      <c r="N23" s="610"/>
      <c r="O23" s="610"/>
      <c r="P23" s="611"/>
      <c r="Q23" s="652" t="s">
        <v>82</v>
      </c>
      <c r="R23" s="653"/>
      <c r="S23" s="653"/>
      <c r="T23" s="654"/>
      <c r="U23" s="655" t="s">
        <v>767</v>
      </c>
      <c r="V23" s="656"/>
      <c r="W23" s="656"/>
      <c r="X23" s="657"/>
      <c r="Y23" s="607" t="s">
        <v>83</v>
      </c>
      <c r="Z23" s="608"/>
      <c r="AA23" s="608"/>
      <c r="AB23" s="595"/>
      <c r="AC23" s="595"/>
      <c r="AD23" s="595"/>
      <c r="AE23" s="595"/>
      <c r="AF23" s="595"/>
      <c r="AG23" s="595"/>
      <c r="AH23" s="595"/>
      <c r="AI23" s="596"/>
      <c r="AK23" s="232">
        <v>90000205</v>
      </c>
      <c r="AP23" s="98">
        <v>3</v>
      </c>
      <c r="AQ23" s="98">
        <v>31</v>
      </c>
      <c r="AR23" s="98">
        <v>31</v>
      </c>
      <c r="AS23" s="98"/>
      <c r="AT23" s="98">
        <v>3</v>
      </c>
      <c r="AU23" s="99">
        <v>1.03</v>
      </c>
      <c r="AV23" s="99"/>
      <c r="AW23" s="99"/>
      <c r="BB23" s="101" t="s">
        <v>144</v>
      </c>
      <c r="BD23" s="97"/>
      <c r="BE23" s="97"/>
      <c r="BF23" s="97"/>
      <c r="BG23" s="249" t="s">
        <v>180</v>
      </c>
      <c r="BH23" s="249" t="s">
        <v>31</v>
      </c>
      <c r="BI23" s="249" t="s">
        <v>231</v>
      </c>
      <c r="BJ23" s="249"/>
      <c r="BK23" s="249" t="s">
        <v>41</v>
      </c>
      <c r="BL23" s="249"/>
      <c r="BM23" s="249" t="s">
        <v>155</v>
      </c>
      <c r="BN23" s="249" t="s">
        <v>53</v>
      </c>
      <c r="BO23" s="249"/>
      <c r="BP23" s="249" t="s">
        <v>155</v>
      </c>
      <c r="BQ23" s="249" t="s">
        <v>666</v>
      </c>
      <c r="BR23" s="249" t="s">
        <v>648</v>
      </c>
      <c r="BS23" s="249" t="s">
        <v>618</v>
      </c>
      <c r="BT23" s="249" t="s">
        <v>63</v>
      </c>
      <c r="BU23" s="250" t="s">
        <v>67</v>
      </c>
      <c r="BV23" s="245" t="s">
        <v>643</v>
      </c>
      <c r="BW23" s="97"/>
      <c r="BX23" s="97"/>
      <c r="BY23" s="249" t="s">
        <v>119</v>
      </c>
      <c r="BZ23" s="97"/>
      <c r="CA23" s="97"/>
      <c r="CB23" s="97"/>
      <c r="CC23" s="250" t="s">
        <v>127</v>
      </c>
      <c r="CD23" s="244"/>
      <c r="CE23" s="101" t="s">
        <v>726</v>
      </c>
    </row>
    <row r="24" spans="2:83" ht="21" customHeight="1" thickBot="1">
      <c r="B24" s="65"/>
      <c r="C24" s="650"/>
      <c r="D24" s="651"/>
      <c r="E24" s="651"/>
      <c r="F24" s="651"/>
      <c r="G24" s="658" t="s">
        <v>84</v>
      </c>
      <c r="H24" s="658"/>
      <c r="I24" s="658"/>
      <c r="J24" s="658"/>
      <c r="K24" s="658"/>
      <c r="L24" s="659" t="s">
        <v>768</v>
      </c>
      <c r="M24" s="660"/>
      <c r="N24" s="660"/>
      <c r="O24" s="660"/>
      <c r="P24" s="660"/>
      <c r="Q24" s="660"/>
      <c r="R24" s="660"/>
      <c r="S24" s="660"/>
      <c r="T24" s="660"/>
      <c r="U24" s="660"/>
      <c r="V24" s="660"/>
      <c r="W24" s="660"/>
      <c r="X24" s="661"/>
      <c r="Y24" s="707"/>
      <c r="Z24" s="708"/>
      <c r="AA24" s="708"/>
      <c r="AB24" s="606"/>
      <c r="AC24" s="606"/>
      <c r="AD24" s="606"/>
      <c r="AE24" s="606"/>
      <c r="AF24" s="606"/>
      <c r="AG24" s="85"/>
      <c r="AH24" s="85"/>
      <c r="AI24" s="102"/>
      <c r="AK24" s="232">
        <v>90000211</v>
      </c>
      <c r="AP24" s="98">
        <v>4</v>
      </c>
      <c r="AQ24" s="98">
        <v>30</v>
      </c>
      <c r="AR24" s="98">
        <v>30</v>
      </c>
      <c r="AS24" s="98"/>
      <c r="AT24" s="98">
        <v>4</v>
      </c>
      <c r="AU24" s="99">
        <v>1</v>
      </c>
      <c r="AV24" s="99"/>
      <c r="AW24" s="99"/>
      <c r="BD24" s="97"/>
      <c r="BE24" s="97"/>
      <c r="BF24" s="97"/>
      <c r="BG24" s="97"/>
      <c r="BH24" s="249" t="s">
        <v>117</v>
      </c>
      <c r="BI24" s="249" t="s">
        <v>117</v>
      </c>
      <c r="BJ24" s="97"/>
      <c r="BK24" s="249" t="s">
        <v>39</v>
      </c>
      <c r="BL24" s="97"/>
      <c r="BM24" s="97"/>
      <c r="BN24" s="249" t="s">
        <v>54</v>
      </c>
      <c r="BO24" s="97"/>
      <c r="BP24" s="97"/>
      <c r="BQ24" s="249" t="s">
        <v>39</v>
      </c>
      <c r="BR24" s="249" t="s">
        <v>649</v>
      </c>
      <c r="BS24" s="97"/>
      <c r="BT24" s="97"/>
      <c r="BU24" s="97"/>
      <c r="BV24" s="97"/>
      <c r="BW24" s="97"/>
      <c r="BX24" s="97"/>
      <c r="BY24" s="249" t="s">
        <v>120</v>
      </c>
      <c r="BZ24" s="97"/>
      <c r="CA24" s="97"/>
      <c r="CB24" s="97"/>
      <c r="CC24" s="97"/>
      <c r="CE24" s="101" t="s">
        <v>727</v>
      </c>
    </row>
    <row r="25" spans="2:83" ht="15.6" customHeight="1">
      <c r="B25" s="65"/>
      <c r="C25" s="601" t="s">
        <v>85</v>
      </c>
      <c r="D25" s="602"/>
      <c r="E25" s="602"/>
      <c r="F25" s="602"/>
      <c r="G25" s="603" t="s">
        <v>175</v>
      </c>
      <c r="H25" s="603"/>
      <c r="I25" s="603"/>
      <c r="J25" s="603"/>
      <c r="K25" s="604"/>
      <c r="L25" s="104" t="s">
        <v>86</v>
      </c>
      <c r="M25" s="85"/>
      <c r="N25" s="605" t="s">
        <v>143</v>
      </c>
      <c r="O25" s="605"/>
      <c r="P25" s="605"/>
      <c r="Q25" s="605"/>
      <c r="R25" s="605"/>
      <c r="S25" s="605"/>
      <c r="T25" s="605"/>
      <c r="U25" s="605"/>
      <c r="V25" s="85"/>
      <c r="W25" s="85"/>
      <c r="X25" s="102"/>
      <c r="Y25" s="230">
        <v>90000205</v>
      </c>
      <c r="Z25" s="336" t="s">
        <v>88</v>
      </c>
      <c r="AA25" s="337"/>
      <c r="AB25" s="677" t="s">
        <v>254</v>
      </c>
      <c r="AC25" s="677"/>
      <c r="AD25" s="677"/>
      <c r="AE25" s="677"/>
      <c r="AF25" s="677"/>
      <c r="AG25" s="677"/>
      <c r="AH25" s="677"/>
      <c r="AI25" s="678"/>
      <c r="AK25" s="232">
        <v>90000212</v>
      </c>
      <c r="AP25" s="98">
        <v>5</v>
      </c>
      <c r="AQ25" s="98">
        <v>31</v>
      </c>
      <c r="AR25" s="98">
        <v>31</v>
      </c>
      <c r="AS25" s="98"/>
      <c r="AT25" s="98">
        <v>5</v>
      </c>
      <c r="AU25" s="99">
        <v>1.03</v>
      </c>
      <c r="AV25" s="99"/>
      <c r="AW25" s="99"/>
      <c r="BD25" s="97"/>
      <c r="BE25" s="97"/>
      <c r="BF25" s="97"/>
      <c r="BG25" s="97"/>
      <c r="BH25" s="249" t="s">
        <v>121</v>
      </c>
      <c r="BI25" s="249" t="s">
        <v>121</v>
      </c>
      <c r="BJ25" s="97"/>
      <c r="BK25" s="249" t="s">
        <v>639</v>
      </c>
      <c r="BL25" s="97"/>
      <c r="BM25" s="97"/>
      <c r="BN25" s="249" t="s">
        <v>39</v>
      </c>
      <c r="BO25" s="97"/>
      <c r="BP25" s="97"/>
      <c r="BQ25" s="249" t="s">
        <v>58</v>
      </c>
      <c r="BR25" s="249"/>
      <c r="BS25" s="97"/>
      <c r="BT25" s="97"/>
      <c r="BU25" s="97"/>
      <c r="BV25" s="97"/>
      <c r="BW25" s="97"/>
      <c r="BX25" s="97"/>
      <c r="BY25" s="249" t="s">
        <v>121</v>
      </c>
      <c r="BZ25" s="97"/>
      <c r="CA25" s="97"/>
      <c r="CB25" s="97"/>
      <c r="CC25" s="97"/>
      <c r="CE25" s="101" t="s">
        <v>728</v>
      </c>
    </row>
    <row r="26" spans="2:83" ht="15.6" customHeight="1">
      <c r="B26" s="65"/>
      <c r="C26" s="601"/>
      <c r="D26" s="602"/>
      <c r="E26" s="602"/>
      <c r="F26" s="602"/>
      <c r="L26" s="106" t="s">
        <v>658</v>
      </c>
      <c r="M26" s="85"/>
      <c r="N26" s="313"/>
      <c r="O26" s="644"/>
      <c r="P26" s="644"/>
      <c r="Q26" s="644"/>
      <c r="R26" s="644"/>
      <c r="S26" s="644"/>
      <c r="T26" s="644"/>
      <c r="U26" s="644"/>
      <c r="V26" s="644"/>
      <c r="W26" s="644"/>
      <c r="X26" s="102"/>
      <c r="Z26" s="85"/>
      <c r="AA26" s="85"/>
      <c r="AB26" s="679"/>
      <c r="AC26" s="679"/>
      <c r="AD26" s="679"/>
      <c r="AE26" s="679"/>
      <c r="AF26" s="679"/>
      <c r="AG26" s="679"/>
      <c r="AH26" s="679"/>
      <c r="AI26" s="680"/>
      <c r="AK26" s="232">
        <v>90000213</v>
      </c>
      <c r="AP26" s="98">
        <v>6</v>
      </c>
      <c r="AQ26" s="98">
        <v>30</v>
      </c>
      <c r="AR26" s="98">
        <v>30</v>
      </c>
      <c r="AS26" s="98"/>
      <c r="AT26" s="98">
        <v>6</v>
      </c>
      <c r="AU26" s="99">
        <v>1</v>
      </c>
      <c r="AV26" s="99"/>
      <c r="AW26" s="99"/>
      <c r="BC26" s="97"/>
      <c r="BD26" s="97"/>
      <c r="BE26" s="97"/>
      <c r="BF26" s="97"/>
      <c r="BG26" s="97"/>
      <c r="BH26" s="97"/>
      <c r="BI26" s="97"/>
      <c r="BJ26" s="97"/>
      <c r="BK26" s="97"/>
      <c r="BL26" s="97"/>
      <c r="BM26" s="97"/>
      <c r="BN26" s="249" t="s">
        <v>639</v>
      </c>
      <c r="BO26" s="97"/>
      <c r="BP26" s="97"/>
      <c r="BR26" s="97"/>
      <c r="BS26" s="97"/>
      <c r="BT26" s="97"/>
      <c r="BU26" s="97"/>
      <c r="BV26" s="97"/>
      <c r="BW26" s="97"/>
      <c r="BX26" s="97"/>
      <c r="BY26" s="97"/>
      <c r="BZ26" s="97"/>
      <c r="CA26" s="97"/>
      <c r="CB26" s="97"/>
      <c r="CC26" s="97"/>
      <c r="CE26" s="101" t="s">
        <v>729</v>
      </c>
    </row>
    <row r="27" spans="2:83" ht="15.6" customHeight="1" thickBot="1">
      <c r="B27" s="65"/>
      <c r="C27" s="627" t="s">
        <v>87</v>
      </c>
      <c r="D27" s="628"/>
      <c r="E27" s="628"/>
      <c r="F27" s="628"/>
      <c r="G27" s="629" t="s">
        <v>241</v>
      </c>
      <c r="H27" s="629"/>
      <c r="I27" s="629"/>
      <c r="J27" s="629"/>
      <c r="K27" s="630"/>
      <c r="L27" s="112"/>
      <c r="M27" s="111"/>
      <c r="N27" s="314"/>
      <c r="O27" s="645"/>
      <c r="P27" s="645"/>
      <c r="Q27" s="645"/>
      <c r="R27" s="645"/>
      <c r="S27" s="645"/>
      <c r="T27" s="645"/>
      <c r="U27" s="645"/>
      <c r="V27" s="645"/>
      <c r="W27" s="645"/>
      <c r="X27" s="113" t="s">
        <v>657</v>
      </c>
      <c r="Y27" s="105"/>
      <c r="Z27" s="108"/>
      <c r="AA27" s="420" t="s">
        <v>757</v>
      </c>
      <c r="AB27" s="421" t="s">
        <v>758</v>
      </c>
      <c r="AC27" s="420"/>
      <c r="AD27" s="422" t="s">
        <v>759</v>
      </c>
      <c r="AE27" s="423" t="s">
        <v>760</v>
      </c>
      <c r="AF27" s="327"/>
      <c r="AG27" s="328"/>
      <c r="AH27" s="687"/>
      <c r="AI27" s="688"/>
      <c r="AK27" s="232">
        <v>90000214</v>
      </c>
      <c r="AP27" s="98">
        <v>7</v>
      </c>
      <c r="AQ27" s="98">
        <v>31</v>
      </c>
      <c r="AR27" s="98">
        <v>31</v>
      </c>
      <c r="AS27" s="98"/>
      <c r="AT27" s="98">
        <v>7</v>
      </c>
      <c r="AU27" s="99">
        <v>1.03</v>
      </c>
      <c r="AV27" s="99"/>
      <c r="AW27" s="99"/>
      <c r="BC27" s="97"/>
      <c r="BD27" s="97"/>
      <c r="BE27" s="97"/>
      <c r="BF27" s="97"/>
      <c r="BG27" s="250" t="s">
        <v>85</v>
      </c>
      <c r="BH27" s="245"/>
      <c r="BI27" s="97"/>
      <c r="BJ27" s="97"/>
      <c r="BK27" s="97"/>
      <c r="BL27" s="97"/>
      <c r="BM27" s="97"/>
      <c r="BN27" s="97"/>
      <c r="BO27" s="97"/>
      <c r="BP27" s="97"/>
      <c r="BQ27" s="97"/>
      <c r="BR27" s="97"/>
      <c r="BS27" s="97"/>
      <c r="BT27" s="97"/>
      <c r="BU27" s="97"/>
      <c r="BV27" s="97"/>
      <c r="BW27" s="97"/>
      <c r="BX27" s="97"/>
      <c r="BY27" s="97"/>
      <c r="BZ27" s="97"/>
      <c r="CA27" s="97"/>
      <c r="CB27" s="97"/>
      <c r="CC27" s="97"/>
      <c r="CE27" s="101" t="s">
        <v>730</v>
      </c>
    </row>
    <row r="28" spans="2:83" ht="15.6" customHeight="1">
      <c r="B28" s="65"/>
      <c r="C28" s="662" t="s">
        <v>92</v>
      </c>
      <c r="D28" s="663"/>
      <c r="E28" s="663"/>
      <c r="F28" s="664"/>
      <c r="G28" s="698"/>
      <c r="H28" s="699"/>
      <c r="I28" s="699"/>
      <c r="J28" s="699"/>
      <c r="K28" s="699"/>
      <c r="L28" s="699"/>
      <c r="M28" s="699"/>
      <c r="N28" s="699"/>
      <c r="O28" s="699"/>
      <c r="P28" s="699"/>
      <c r="Q28" s="699"/>
      <c r="R28" s="699"/>
      <c r="S28" s="699"/>
      <c r="T28" s="699"/>
      <c r="U28" s="699"/>
      <c r="V28" s="699"/>
      <c r="W28" s="699"/>
      <c r="X28" s="700"/>
      <c r="Y28" s="105"/>
      <c r="Z28" s="108" t="s">
        <v>239</v>
      </c>
      <c r="AA28" s="330" t="s">
        <v>776</v>
      </c>
      <c r="AB28" s="335">
        <v>900000</v>
      </c>
      <c r="AC28" s="326" t="s">
        <v>692</v>
      </c>
      <c r="AD28" s="395">
        <v>4</v>
      </c>
      <c r="AE28" s="329" t="s">
        <v>777</v>
      </c>
      <c r="AF28" s="327" t="s">
        <v>693</v>
      </c>
      <c r="AG28" s="328" t="str">
        <f>通貨区分1</f>
        <v>JPY</v>
      </c>
      <c r="AH28" s="672">
        <f>単価1*工数1</f>
        <v>3600000</v>
      </c>
      <c r="AI28" s="673"/>
      <c r="AK28" s="232">
        <v>90000219</v>
      </c>
      <c r="AP28" s="98">
        <v>8</v>
      </c>
      <c r="AQ28" s="98">
        <v>31</v>
      </c>
      <c r="AR28" s="98">
        <v>31</v>
      </c>
      <c r="AS28" s="98"/>
      <c r="AT28" s="98">
        <v>8</v>
      </c>
      <c r="AU28" s="99">
        <v>1.03</v>
      </c>
      <c r="AV28" s="99"/>
      <c r="AW28" s="99"/>
      <c r="BC28" s="80"/>
      <c r="BD28" s="80"/>
      <c r="BE28" s="80"/>
      <c r="BF28" s="80"/>
      <c r="BG28" s="250" t="s">
        <v>174</v>
      </c>
      <c r="BH28" s="245"/>
      <c r="BI28" s="80"/>
      <c r="BJ28" s="80"/>
      <c r="BK28" s="80"/>
      <c r="BL28" s="80"/>
      <c r="BM28" s="80"/>
      <c r="BN28" s="80"/>
      <c r="BO28" s="80"/>
      <c r="BP28" s="80"/>
      <c r="BQ28" s="80"/>
      <c r="BR28" s="80"/>
      <c r="BS28" s="80"/>
      <c r="BT28" s="80"/>
      <c r="BU28" s="80"/>
      <c r="BV28" s="80"/>
      <c r="BW28" s="80"/>
      <c r="BX28" s="80"/>
      <c r="BY28" s="80"/>
      <c r="BZ28" s="80"/>
      <c r="CA28" s="80"/>
      <c r="CB28" s="80"/>
      <c r="CC28" s="80"/>
      <c r="CE28" s="101" t="s">
        <v>731</v>
      </c>
    </row>
    <row r="29" spans="2:83" ht="21" customHeight="1">
      <c r="C29" s="571" t="s">
        <v>91</v>
      </c>
      <c r="D29" s="572"/>
      <c r="E29" s="572"/>
      <c r="F29" s="573"/>
      <c r="G29" s="702" t="s">
        <v>771</v>
      </c>
      <c r="H29" s="703"/>
      <c r="I29" s="703"/>
      <c r="J29" s="703"/>
      <c r="K29" s="703"/>
      <c r="L29" s="703"/>
      <c r="M29" s="703"/>
      <c r="N29" s="703"/>
      <c r="O29" s="703"/>
      <c r="P29" s="703"/>
      <c r="Q29" s="703"/>
      <c r="R29" s="703"/>
      <c r="S29" s="703"/>
      <c r="T29" s="703"/>
      <c r="U29" s="703"/>
      <c r="V29" s="703"/>
      <c r="W29" s="703"/>
      <c r="X29" s="704"/>
      <c r="Y29" s="105"/>
      <c r="Z29" s="63"/>
      <c r="AA29" s="109"/>
      <c r="AB29" s="405"/>
      <c r="AC29" s="114"/>
      <c r="AD29" s="109"/>
      <c r="AE29" s="109"/>
      <c r="AF29" s="114"/>
      <c r="AG29" s="63"/>
      <c r="AH29" s="63"/>
      <c r="AI29" s="102"/>
      <c r="AK29" s="232">
        <v>90000265</v>
      </c>
      <c r="AP29" s="98">
        <v>9</v>
      </c>
      <c r="AQ29" s="98">
        <v>30</v>
      </c>
      <c r="AR29" s="98">
        <v>30</v>
      </c>
      <c r="AS29" s="98"/>
      <c r="AT29" s="98">
        <v>9</v>
      </c>
      <c r="AU29" s="99">
        <v>1</v>
      </c>
      <c r="AV29" s="99"/>
      <c r="AW29" s="99"/>
      <c r="BC29" s="80"/>
      <c r="BD29" s="80"/>
      <c r="BE29" s="80"/>
      <c r="BF29" s="80"/>
      <c r="BG29" s="250" t="s">
        <v>175</v>
      </c>
      <c r="BH29" s="245"/>
      <c r="BI29" s="80"/>
      <c r="BJ29" s="80"/>
      <c r="BK29" s="80"/>
      <c r="BL29" s="80"/>
      <c r="BM29" s="80"/>
      <c r="BN29" s="80"/>
      <c r="BO29" s="80"/>
      <c r="BP29" s="80"/>
      <c r="BQ29" s="80"/>
      <c r="BR29" s="80"/>
      <c r="BS29" s="80"/>
      <c r="BT29" s="80"/>
      <c r="BU29" s="80"/>
      <c r="BV29" s="80"/>
      <c r="BW29" s="80"/>
      <c r="BX29" s="80"/>
      <c r="BY29" s="80"/>
      <c r="BZ29" s="80"/>
      <c r="CA29" s="80"/>
      <c r="CB29" s="80"/>
      <c r="CC29" s="80"/>
      <c r="CE29" s="101" t="s">
        <v>732</v>
      </c>
    </row>
    <row r="30" spans="2:83" ht="21" customHeight="1">
      <c r="C30" s="585" t="s">
        <v>708</v>
      </c>
      <c r="D30" s="586"/>
      <c r="E30" s="586"/>
      <c r="F30" s="587"/>
      <c r="G30" s="589" t="s">
        <v>772</v>
      </c>
      <c r="H30" s="590"/>
      <c r="I30" s="590"/>
      <c r="J30" s="590"/>
      <c r="K30" s="590"/>
      <c r="L30" s="590"/>
      <c r="M30" s="590"/>
      <c r="N30" s="590"/>
      <c r="O30" s="590"/>
      <c r="P30" s="590"/>
      <c r="Q30" s="590"/>
      <c r="R30" s="590"/>
      <c r="S30" s="590"/>
      <c r="T30" s="590"/>
      <c r="U30" s="590"/>
      <c r="V30" s="590"/>
      <c r="W30" s="590"/>
      <c r="X30" s="591"/>
      <c r="Y30" s="105"/>
      <c r="Z30" s="85"/>
      <c r="AA30" s="115"/>
      <c r="AB30" s="116"/>
      <c r="AC30" s="116"/>
      <c r="AD30" s="116"/>
      <c r="AE30" s="116"/>
      <c r="AF30" s="85"/>
      <c r="AG30" s="85"/>
      <c r="AH30" s="85"/>
      <c r="AI30" s="102"/>
      <c r="AK30" s="232">
        <v>90000271</v>
      </c>
      <c r="AP30" s="98">
        <v>10</v>
      </c>
      <c r="AQ30" s="98">
        <v>31</v>
      </c>
      <c r="AR30" s="98">
        <v>31</v>
      </c>
      <c r="AS30" s="98"/>
      <c r="AT30" s="98">
        <v>10</v>
      </c>
      <c r="AU30" s="99">
        <v>1.03</v>
      </c>
      <c r="AV30" s="99"/>
      <c r="AW30" s="99"/>
      <c r="BG30" s="250" t="s">
        <v>176</v>
      </c>
      <c r="BH30" s="246"/>
      <c r="CE30" s="101" t="s">
        <v>733</v>
      </c>
    </row>
    <row r="31" spans="2:83" ht="15.6" customHeight="1">
      <c r="C31" s="582" t="s">
        <v>187</v>
      </c>
      <c r="D31" s="583"/>
      <c r="E31" s="583"/>
      <c r="F31" s="584"/>
      <c r="G31" s="574"/>
      <c r="H31" s="575"/>
      <c r="I31" s="575"/>
      <c r="J31" s="575"/>
      <c r="K31" s="575"/>
      <c r="L31" s="643"/>
      <c r="M31" s="701" t="s">
        <v>96</v>
      </c>
      <c r="N31" s="583"/>
      <c r="O31" s="583"/>
      <c r="P31" s="583"/>
      <c r="Q31" s="574"/>
      <c r="R31" s="575"/>
      <c r="S31" s="575"/>
      <c r="T31" s="575"/>
      <c r="U31" s="575"/>
      <c r="V31" s="575"/>
      <c r="W31" s="575"/>
      <c r="X31" s="576"/>
      <c r="Y31" s="230">
        <v>90000214</v>
      </c>
      <c r="Z31" s="338" t="s">
        <v>93</v>
      </c>
      <c r="AA31" s="339" t="s">
        <v>114</v>
      </c>
      <c r="AB31" s="340"/>
      <c r="AC31" s="671" t="s">
        <v>41</v>
      </c>
      <c r="AD31" s="671"/>
      <c r="AE31" s="671"/>
      <c r="AF31" s="671"/>
      <c r="AG31" s="671"/>
      <c r="AH31" s="341"/>
      <c r="AI31" s="342"/>
      <c r="AK31" s="232">
        <v>90000272</v>
      </c>
      <c r="AP31" s="98">
        <v>11</v>
      </c>
      <c r="AQ31" s="98">
        <v>30</v>
      </c>
      <c r="AR31" s="98">
        <v>30</v>
      </c>
      <c r="AS31" s="98"/>
      <c r="AT31" s="98">
        <v>11</v>
      </c>
      <c r="AU31" s="99">
        <v>1</v>
      </c>
      <c r="AV31" s="99"/>
      <c r="AW31" s="99"/>
      <c r="BG31" s="250" t="s">
        <v>177</v>
      </c>
      <c r="BH31" s="246"/>
      <c r="CE31" s="101" t="s">
        <v>734</v>
      </c>
    </row>
    <row r="32" spans="2:83" ht="15.6" customHeight="1">
      <c r="C32" s="588" t="s">
        <v>97</v>
      </c>
      <c r="D32" s="465"/>
      <c r="E32" s="465"/>
      <c r="F32" s="466"/>
      <c r="G32" s="640"/>
      <c r="H32" s="641"/>
      <c r="I32" s="641"/>
      <c r="J32" s="641"/>
      <c r="K32" s="641"/>
      <c r="L32" s="642"/>
      <c r="M32" s="577" t="s">
        <v>660</v>
      </c>
      <c r="N32" s="578"/>
      <c r="O32" s="578"/>
      <c r="P32" s="578"/>
      <c r="Q32" s="665"/>
      <c r="R32" s="666"/>
      <c r="S32" s="666"/>
      <c r="T32" s="666"/>
      <c r="U32" s="666"/>
      <c r="V32" s="666"/>
      <c r="W32" s="666"/>
      <c r="X32" s="667"/>
      <c r="Y32" s="105"/>
      <c r="Z32" s="63"/>
      <c r="AA32" s="117" t="s">
        <v>113</v>
      </c>
      <c r="AB32" s="114"/>
      <c r="AC32" s="570" t="s">
        <v>778</v>
      </c>
      <c r="AD32" s="570"/>
      <c r="AE32" s="570"/>
      <c r="AF32" s="570"/>
      <c r="AG32" s="570"/>
      <c r="AH32" s="63"/>
      <c r="AI32" s="102"/>
      <c r="AK32" s="232">
        <v>90000274</v>
      </c>
      <c r="AP32" s="98">
        <v>12</v>
      </c>
      <c r="AQ32" s="98">
        <v>31</v>
      </c>
      <c r="AR32" s="98">
        <v>31</v>
      </c>
      <c r="AS32" s="98"/>
      <c r="AT32" s="98">
        <v>12</v>
      </c>
      <c r="AU32" s="99">
        <v>1.03</v>
      </c>
      <c r="AV32" s="99"/>
      <c r="AW32" s="99"/>
      <c r="CE32" s="101" t="s">
        <v>735</v>
      </c>
    </row>
    <row r="33" spans="2:83" ht="15.6" customHeight="1">
      <c r="C33" s="582" t="s">
        <v>659</v>
      </c>
      <c r="D33" s="583"/>
      <c r="E33" s="583"/>
      <c r="F33" s="584"/>
      <c r="G33" s="574"/>
      <c r="H33" s="575"/>
      <c r="I33" s="575"/>
      <c r="J33" s="575"/>
      <c r="K33" s="575"/>
      <c r="L33" s="643"/>
      <c r="M33" s="579"/>
      <c r="N33" s="580"/>
      <c r="O33" s="580"/>
      <c r="P33" s="580"/>
      <c r="Q33" s="668"/>
      <c r="R33" s="669"/>
      <c r="S33" s="669"/>
      <c r="T33" s="669"/>
      <c r="U33" s="669"/>
      <c r="V33" s="669"/>
      <c r="W33" s="669"/>
      <c r="X33" s="670"/>
      <c r="Y33" s="105"/>
      <c r="Z33" s="63"/>
      <c r="AA33" s="117" t="s">
        <v>115</v>
      </c>
      <c r="AB33" s="114"/>
      <c r="AC33" s="570" t="s">
        <v>47</v>
      </c>
      <c r="AD33" s="570"/>
      <c r="AE33" s="570"/>
      <c r="AF33" s="570"/>
      <c r="AG33" s="570"/>
      <c r="AH33" s="63"/>
      <c r="AI33" s="102"/>
      <c r="AK33" s="232">
        <v>90000275</v>
      </c>
      <c r="CE33" s="101" t="s">
        <v>736</v>
      </c>
    </row>
    <row r="34" spans="2:83" ht="15.6" customHeight="1">
      <c r="C34" s="619" t="s">
        <v>95</v>
      </c>
      <c r="D34" s="578"/>
      <c r="E34" s="578"/>
      <c r="F34" s="620"/>
      <c r="G34" s="631" t="s">
        <v>773</v>
      </c>
      <c r="H34" s="632"/>
      <c r="I34" s="632"/>
      <c r="J34" s="632"/>
      <c r="K34" s="632"/>
      <c r="L34" s="632"/>
      <c r="M34" s="632"/>
      <c r="N34" s="632"/>
      <c r="O34" s="632"/>
      <c r="P34" s="632"/>
      <c r="Q34" s="632"/>
      <c r="R34" s="632"/>
      <c r="S34" s="632"/>
      <c r="T34" s="632"/>
      <c r="U34" s="632"/>
      <c r="V34" s="632"/>
      <c r="W34" s="632"/>
      <c r="X34" s="633"/>
      <c r="Y34" s="105"/>
      <c r="Z34" s="63"/>
      <c r="AA34" s="117" t="s">
        <v>152</v>
      </c>
      <c r="AB34" s="114"/>
      <c r="AC34" s="570" t="s">
        <v>781</v>
      </c>
      <c r="AD34" s="570"/>
      <c r="AE34" s="570"/>
      <c r="AF34" s="570"/>
      <c r="AG34" s="570"/>
      <c r="AH34" s="63"/>
      <c r="AI34" s="102"/>
      <c r="AK34" s="232">
        <v>90000276</v>
      </c>
      <c r="AP34" s="249" t="s">
        <v>87</v>
      </c>
      <c r="AQ34" s="250" t="s">
        <v>122</v>
      </c>
      <c r="AR34" s="246"/>
      <c r="AS34" s="101" t="s">
        <v>661</v>
      </c>
      <c r="CE34" s="101" t="s">
        <v>737</v>
      </c>
    </row>
    <row r="35" spans="2:83" ht="15.6" customHeight="1">
      <c r="C35" s="621"/>
      <c r="D35" s="622"/>
      <c r="E35" s="622"/>
      <c r="F35" s="623"/>
      <c r="G35" s="634"/>
      <c r="H35" s="635"/>
      <c r="I35" s="635"/>
      <c r="J35" s="635"/>
      <c r="K35" s="635"/>
      <c r="L35" s="635"/>
      <c r="M35" s="635"/>
      <c r="N35" s="635"/>
      <c r="O35" s="635"/>
      <c r="P35" s="635"/>
      <c r="Q35" s="635"/>
      <c r="R35" s="635"/>
      <c r="S35" s="635"/>
      <c r="T35" s="635"/>
      <c r="U35" s="635"/>
      <c r="V35" s="635"/>
      <c r="W35" s="635"/>
      <c r="X35" s="636"/>
      <c r="Y35" s="105"/>
      <c r="Z35" s="108"/>
      <c r="AA35" s="420" t="s">
        <v>757</v>
      </c>
      <c r="AB35" s="421" t="s">
        <v>758</v>
      </c>
      <c r="AC35" s="420"/>
      <c r="AD35" s="422" t="s">
        <v>759</v>
      </c>
      <c r="AE35" s="423" t="s">
        <v>760</v>
      </c>
      <c r="AF35" s="86"/>
      <c r="AG35" s="110"/>
      <c r="AH35" s="681"/>
      <c r="AI35" s="706"/>
      <c r="AK35" s="232">
        <v>90000277</v>
      </c>
      <c r="AP35" s="249" t="s">
        <v>240</v>
      </c>
      <c r="AQ35" s="250" t="s">
        <v>153</v>
      </c>
      <c r="AR35" s="246"/>
      <c r="AS35" s="268" t="s">
        <v>237</v>
      </c>
      <c r="CE35" s="101" t="s">
        <v>738</v>
      </c>
    </row>
    <row r="36" spans="2:83" ht="15.6" customHeight="1" thickBot="1">
      <c r="C36" s="624"/>
      <c r="D36" s="625"/>
      <c r="E36" s="625"/>
      <c r="F36" s="626"/>
      <c r="G36" s="637"/>
      <c r="H36" s="638"/>
      <c r="I36" s="638"/>
      <c r="J36" s="638"/>
      <c r="K36" s="638"/>
      <c r="L36" s="638"/>
      <c r="M36" s="638"/>
      <c r="N36" s="638"/>
      <c r="O36" s="638"/>
      <c r="P36" s="638"/>
      <c r="Q36" s="638"/>
      <c r="R36" s="638"/>
      <c r="S36" s="638"/>
      <c r="T36" s="638"/>
      <c r="U36" s="638"/>
      <c r="V36" s="638"/>
      <c r="W36" s="638"/>
      <c r="X36" s="639"/>
      <c r="Y36" s="105"/>
      <c r="Z36" s="108" t="s">
        <v>239</v>
      </c>
      <c r="AA36" s="330" t="s">
        <v>779</v>
      </c>
      <c r="AB36" s="394">
        <v>52</v>
      </c>
      <c r="AC36" s="109" t="s">
        <v>89</v>
      </c>
      <c r="AD36" s="393">
        <v>120</v>
      </c>
      <c r="AE36" s="391" t="s">
        <v>780</v>
      </c>
      <c r="AF36" s="86" t="s">
        <v>90</v>
      </c>
      <c r="AG36" s="392" t="str">
        <f>通貨区分2</f>
        <v>USD</v>
      </c>
      <c r="AH36" s="672">
        <f>DailyUnitPriceForeign*工数2</f>
        <v>6240</v>
      </c>
      <c r="AI36" s="673"/>
      <c r="AK36" s="232">
        <v>90000278</v>
      </c>
      <c r="AP36" s="249" t="s">
        <v>241</v>
      </c>
      <c r="AQ36" s="250" t="s">
        <v>154</v>
      </c>
      <c r="AR36" s="246"/>
      <c r="AS36" s="268" t="s">
        <v>255</v>
      </c>
      <c r="CE36" s="101" t="s">
        <v>739</v>
      </c>
    </row>
    <row r="37" spans="2:83" ht="15.6" customHeight="1" thickBot="1">
      <c r="C37" s="118" t="s">
        <v>663</v>
      </c>
      <c r="D37" s="92"/>
      <c r="E37" s="92"/>
      <c r="F37" s="92"/>
      <c r="G37" s="92"/>
      <c r="H37" s="92"/>
      <c r="I37" s="92"/>
      <c r="J37" s="92"/>
      <c r="K37" s="92"/>
      <c r="L37" s="92"/>
      <c r="M37" s="119"/>
      <c r="N37" s="119"/>
      <c r="O37" s="119"/>
      <c r="P37" s="119"/>
      <c r="Q37" s="119"/>
      <c r="R37" s="119"/>
      <c r="S37" s="119"/>
      <c r="T37" s="119"/>
      <c r="U37" s="119"/>
      <c r="V37" s="119"/>
      <c r="W37" s="119"/>
      <c r="X37" s="120"/>
      <c r="Y37" s="105"/>
      <c r="Z37" s="63"/>
      <c r="AA37" s="109"/>
      <c r="AB37" s="406"/>
      <c r="AC37" s="114"/>
      <c r="AD37" s="109"/>
      <c r="AE37" s="109"/>
      <c r="AF37" s="114"/>
      <c r="AG37" s="63"/>
      <c r="AH37" s="63"/>
      <c r="AI37" s="102"/>
      <c r="AP37" s="249" t="s">
        <v>242</v>
      </c>
      <c r="AQ37" s="97"/>
      <c r="CE37" s="101" t="s">
        <v>740</v>
      </c>
    </row>
    <row r="38" spans="2:83" ht="15.6" customHeight="1">
      <c r="B38" s="107"/>
      <c r="C38" s="118"/>
      <c r="M38" s="119"/>
      <c r="N38" s="119"/>
      <c r="O38" s="119"/>
      <c r="P38" s="119"/>
      <c r="Q38" s="119"/>
      <c r="R38" s="119"/>
      <c r="S38" s="119"/>
      <c r="T38" s="119"/>
      <c r="U38" s="119"/>
      <c r="V38" s="119"/>
      <c r="W38" s="119"/>
      <c r="X38" s="120"/>
      <c r="Y38" s="105"/>
      <c r="Z38" s="63"/>
      <c r="AA38" s="109"/>
      <c r="AB38" s="114"/>
      <c r="AC38" s="114"/>
      <c r="AD38" s="109"/>
      <c r="AE38" s="109"/>
      <c r="AF38" s="114"/>
      <c r="AG38" s="63"/>
      <c r="AH38" s="63"/>
      <c r="AI38" s="102"/>
      <c r="AP38" s="249" t="s">
        <v>243</v>
      </c>
      <c r="AQ38" s="97"/>
      <c r="CE38" s="101" t="s">
        <v>741</v>
      </c>
    </row>
    <row r="39" spans="2:83" ht="15.6" customHeight="1">
      <c r="C39" s="564" t="s">
        <v>136</v>
      </c>
      <c r="D39" s="581"/>
      <c r="E39" s="581"/>
      <c r="F39" s="155" t="s">
        <v>236</v>
      </c>
      <c r="G39" s="566" t="s">
        <v>255</v>
      </c>
      <c r="H39" s="567"/>
      <c r="I39" s="567"/>
      <c r="J39" s="567"/>
      <c r="K39" s="567"/>
      <c r="L39" s="145" t="s">
        <v>135</v>
      </c>
      <c r="M39" s="266"/>
      <c r="N39" s="266"/>
      <c r="O39" s="266"/>
      <c r="P39" s="266"/>
      <c r="Q39" s="266"/>
      <c r="R39" s="266"/>
      <c r="S39" s="266"/>
      <c r="T39" s="266"/>
      <c r="U39" s="266"/>
      <c r="V39" s="266"/>
      <c r="W39" s="266"/>
      <c r="X39" s="267"/>
      <c r="Y39" s="230">
        <v>90000214</v>
      </c>
      <c r="Z39" s="343" t="s">
        <v>99</v>
      </c>
      <c r="AA39" s="344" t="s">
        <v>94</v>
      </c>
      <c r="AB39" s="340"/>
      <c r="AC39" s="671" t="s">
        <v>53</v>
      </c>
      <c r="AD39" s="671"/>
      <c r="AE39" s="671"/>
      <c r="AF39" s="671"/>
      <c r="AG39" s="671"/>
      <c r="AH39" s="341"/>
      <c r="AI39" s="342"/>
      <c r="AJ39" s="121"/>
      <c r="AP39" s="249" t="s">
        <v>631</v>
      </c>
      <c r="CE39" s="101" t="s">
        <v>742</v>
      </c>
    </row>
    <row r="40" spans="2:83" ht="15.6" customHeight="1">
      <c r="C40" s="265"/>
      <c r="D40" s="266"/>
      <c r="E40" s="266"/>
      <c r="F40" s="266"/>
      <c r="G40" s="266"/>
      <c r="H40" s="266"/>
      <c r="I40" s="266"/>
      <c r="J40" s="266"/>
      <c r="K40" s="266"/>
      <c r="L40" s="266"/>
      <c r="M40" s="266"/>
      <c r="N40" s="266"/>
      <c r="O40" s="266"/>
      <c r="P40" s="266"/>
      <c r="Q40" s="266"/>
      <c r="R40" s="266"/>
      <c r="S40" s="266"/>
      <c r="T40" s="266"/>
      <c r="U40" s="266"/>
      <c r="V40" s="266"/>
      <c r="W40" s="266"/>
      <c r="X40" s="267"/>
      <c r="Y40" s="105"/>
      <c r="Z40" s="85"/>
      <c r="AA40" s="103" t="s">
        <v>113</v>
      </c>
      <c r="AB40" s="85"/>
      <c r="AC40" s="570" t="s">
        <v>778</v>
      </c>
      <c r="AD40" s="570"/>
      <c r="AE40" s="570"/>
      <c r="AF40" s="570"/>
      <c r="AG40" s="570"/>
      <c r="AH40" s="85"/>
      <c r="AI40" s="102"/>
      <c r="CE40" s="101" t="s">
        <v>743</v>
      </c>
    </row>
    <row r="41" spans="2:83" ht="15.6" customHeight="1">
      <c r="B41" s="122"/>
      <c r="C41" s="564" t="s">
        <v>131</v>
      </c>
      <c r="D41" s="565"/>
      <c r="E41" s="565"/>
      <c r="F41" s="145" t="s">
        <v>132</v>
      </c>
      <c r="G41" s="145"/>
      <c r="H41" s="145"/>
      <c r="I41" s="145"/>
      <c r="J41" s="145"/>
      <c r="K41" s="145"/>
      <c r="L41" s="153"/>
      <c r="M41" s="145"/>
      <c r="N41" s="145"/>
      <c r="O41" s="145"/>
      <c r="P41" s="145"/>
      <c r="Q41" s="145"/>
      <c r="R41" s="149" t="s">
        <v>133</v>
      </c>
      <c r="S41" s="145"/>
      <c r="T41" s="145"/>
      <c r="U41" s="152" t="s">
        <v>156</v>
      </c>
      <c r="V41" s="145"/>
      <c r="W41" s="152" t="s">
        <v>139</v>
      </c>
      <c r="X41" s="267"/>
      <c r="Y41" s="105"/>
      <c r="Z41" s="85"/>
      <c r="AA41" s="103" t="s">
        <v>115</v>
      </c>
      <c r="AB41" s="116"/>
      <c r="AC41" s="570" t="s">
        <v>47</v>
      </c>
      <c r="AD41" s="570"/>
      <c r="AE41" s="570"/>
      <c r="AF41" s="570"/>
      <c r="AG41" s="570"/>
      <c r="AH41" s="85"/>
      <c r="AI41" s="102"/>
      <c r="AP41" s="101"/>
      <c r="AQ41" s="325"/>
      <c r="AR41" s="244"/>
      <c r="AS41" s="244"/>
      <c r="AT41" s="246"/>
      <c r="CE41" s="101" t="s">
        <v>744</v>
      </c>
    </row>
    <row r="42" spans="2:83" ht="15.6" customHeight="1">
      <c r="B42" s="122"/>
      <c r="C42" s="265"/>
      <c r="D42" s="141" t="s">
        <v>124</v>
      </c>
      <c r="E42" s="145"/>
      <c r="F42" s="500">
        <v>42324</v>
      </c>
      <c r="G42" s="540"/>
      <c r="H42" s="540"/>
      <c r="I42" s="540"/>
      <c r="J42" s="540"/>
      <c r="K42" s="149" t="s">
        <v>100</v>
      </c>
      <c r="L42" s="500">
        <v>42352</v>
      </c>
      <c r="M42" s="501"/>
      <c r="N42" s="501"/>
      <c r="O42" s="501"/>
      <c r="P42" s="501"/>
      <c r="Q42" s="145" t="s">
        <v>134</v>
      </c>
      <c r="R42" s="134">
        <f t="shared" ref="R42:R57" si="0">IF($G$39="JICA等",IF(U42=DATEDIF(DATE(YEAR(L42),MONTH(L42),1),DATE(YEAR(L42),MONTH(L42)+1,1),"D"),ROUND(U42/30,2),ROUND(U42/30,2)),IF(U42=DATEDIF(DATE(YEAR(L42),MONTH(L42),1),DATE(YEAR(L42),MONTH(L42)+1,1),"D"),ROUND(30/30,2),IF(MONTH(L42)=2,ROUND(1-((DATEDIF(DATE(YEAR(L42),MONTH(L42),1),DATE(YEAR(L42),MONTH(L42)+1,1),"D")-U42)/30),2),ROUND(U42/30,2))))</f>
        <v>0.97</v>
      </c>
      <c r="S42" s="152" t="s">
        <v>135</v>
      </c>
      <c r="T42" s="145"/>
      <c r="U42" s="142">
        <f t="shared" ref="U42:U57" si="1">IF(AND(F42&lt;&gt;"",L42&lt;&gt;""),1+DATEDIF(F42,L42,"D"),0)</f>
        <v>29</v>
      </c>
      <c r="V42" s="145"/>
      <c r="W42" s="143">
        <f t="shared" ref="W42:W57" si="2">IF(AND(D42&lt;&gt;"",D42&lt;&gt;"国内"),U42,"")</f>
        <v>29</v>
      </c>
      <c r="X42" s="267"/>
      <c r="Y42" s="105"/>
      <c r="Z42" s="85"/>
      <c r="AA42" s="117" t="s">
        <v>152</v>
      </c>
      <c r="AB42" s="116"/>
      <c r="AC42" s="570" t="s">
        <v>781</v>
      </c>
      <c r="AD42" s="570"/>
      <c r="AE42" s="570"/>
      <c r="AF42" s="570"/>
      <c r="AG42" s="570"/>
      <c r="AH42" s="85"/>
      <c r="AI42" s="102"/>
      <c r="AP42" s="101"/>
      <c r="AQ42" s="252"/>
      <c r="AR42" s="244"/>
      <c r="AS42" s="244"/>
      <c r="AT42" s="246"/>
      <c r="CE42" s="101" t="s">
        <v>745</v>
      </c>
    </row>
    <row r="43" spans="2:83" ht="15.6" customHeight="1">
      <c r="B43" s="122"/>
      <c r="C43" s="265"/>
      <c r="D43" s="141" t="s">
        <v>124</v>
      </c>
      <c r="E43" s="145"/>
      <c r="F43" s="500">
        <v>42358</v>
      </c>
      <c r="G43" s="540"/>
      <c r="H43" s="540"/>
      <c r="I43" s="540"/>
      <c r="J43" s="540"/>
      <c r="K43" s="149" t="s">
        <v>100</v>
      </c>
      <c r="L43" s="500">
        <v>42396</v>
      </c>
      <c r="M43" s="501"/>
      <c r="N43" s="501"/>
      <c r="O43" s="501"/>
      <c r="P43" s="501"/>
      <c r="Q43" s="145" t="s">
        <v>134</v>
      </c>
      <c r="R43" s="134">
        <f t="shared" si="0"/>
        <v>1.3</v>
      </c>
      <c r="S43" s="152" t="s">
        <v>135</v>
      </c>
      <c r="T43" s="145"/>
      <c r="U43" s="142">
        <f t="shared" si="1"/>
        <v>39</v>
      </c>
      <c r="V43" s="145"/>
      <c r="W43" s="143">
        <f t="shared" si="2"/>
        <v>39</v>
      </c>
      <c r="X43" s="267"/>
      <c r="Y43" s="105"/>
      <c r="Z43" s="108"/>
      <c r="AA43" s="420" t="s">
        <v>757</v>
      </c>
      <c r="AB43" s="421" t="s">
        <v>758</v>
      </c>
      <c r="AC43" s="420"/>
      <c r="AD43" s="422" t="s">
        <v>759</v>
      </c>
      <c r="AE43" s="423" t="s">
        <v>760</v>
      </c>
      <c r="AF43" s="86"/>
      <c r="AG43" s="110"/>
      <c r="AH43" s="681"/>
      <c r="AI43" s="682"/>
      <c r="AP43" s="101"/>
      <c r="AQ43" s="252"/>
      <c r="AR43" s="244"/>
      <c r="AS43" s="244"/>
      <c r="AT43" s="246"/>
      <c r="CE43" s="101" t="s">
        <v>746</v>
      </c>
    </row>
    <row r="44" spans="2:83" ht="15.6" customHeight="1">
      <c r="B44" s="122"/>
      <c r="C44" s="265"/>
      <c r="D44" s="141" t="s">
        <v>124</v>
      </c>
      <c r="E44" s="145"/>
      <c r="F44" s="500">
        <v>42428</v>
      </c>
      <c r="G44" s="540"/>
      <c r="H44" s="540"/>
      <c r="I44" s="540"/>
      <c r="J44" s="540"/>
      <c r="K44" s="149" t="s">
        <v>100</v>
      </c>
      <c r="L44" s="500">
        <v>42449</v>
      </c>
      <c r="M44" s="501"/>
      <c r="N44" s="501"/>
      <c r="O44" s="501"/>
      <c r="P44" s="501"/>
      <c r="Q44" s="145" t="s">
        <v>134</v>
      </c>
      <c r="R44" s="134">
        <f t="shared" si="0"/>
        <v>0.73</v>
      </c>
      <c r="S44" s="152" t="s">
        <v>135</v>
      </c>
      <c r="T44" s="145"/>
      <c r="U44" s="142">
        <f t="shared" si="1"/>
        <v>22</v>
      </c>
      <c r="V44" s="145"/>
      <c r="W44" s="143">
        <f t="shared" si="2"/>
        <v>22</v>
      </c>
      <c r="X44" s="267"/>
      <c r="Y44" s="105"/>
      <c r="Z44" s="108" t="s">
        <v>239</v>
      </c>
      <c r="AA44" s="330" t="s">
        <v>779</v>
      </c>
      <c r="AB44" s="394">
        <v>6588</v>
      </c>
      <c r="AC44" s="109" t="s">
        <v>89</v>
      </c>
      <c r="AD44" s="393">
        <v>1</v>
      </c>
      <c r="AE44" s="391" t="s">
        <v>117</v>
      </c>
      <c r="AF44" s="86" t="s">
        <v>90</v>
      </c>
      <c r="AG44" s="392" t="str">
        <f>通貨区分3</f>
        <v>USD</v>
      </c>
      <c r="AH44" s="672">
        <f>StayUnitPriceForeign*工数3</f>
        <v>6588</v>
      </c>
      <c r="AI44" s="673"/>
      <c r="AP44" s="101"/>
      <c r="AQ44" s="252"/>
      <c r="AR44" s="244"/>
      <c r="AS44" s="244"/>
      <c r="AT44" s="246"/>
      <c r="CE44" s="101" t="s">
        <v>747</v>
      </c>
    </row>
    <row r="45" spans="2:83" ht="15.6" customHeight="1">
      <c r="B45" s="122"/>
      <c r="C45" s="265"/>
      <c r="D45" s="141" t="s">
        <v>124</v>
      </c>
      <c r="E45" s="145"/>
      <c r="F45" s="500">
        <v>42522</v>
      </c>
      <c r="G45" s="540"/>
      <c r="H45" s="540"/>
      <c r="I45" s="540"/>
      <c r="J45" s="540"/>
      <c r="K45" s="149" t="s">
        <v>100</v>
      </c>
      <c r="L45" s="500">
        <v>42551</v>
      </c>
      <c r="M45" s="501"/>
      <c r="N45" s="501"/>
      <c r="O45" s="501"/>
      <c r="P45" s="501"/>
      <c r="Q45" s="145" t="s">
        <v>134</v>
      </c>
      <c r="R45" s="134">
        <f t="shared" si="0"/>
        <v>1</v>
      </c>
      <c r="S45" s="152" t="s">
        <v>135</v>
      </c>
      <c r="T45" s="145"/>
      <c r="U45" s="142">
        <f t="shared" si="1"/>
        <v>30</v>
      </c>
      <c r="V45" s="145"/>
      <c r="W45" s="143">
        <f t="shared" si="2"/>
        <v>30</v>
      </c>
      <c r="X45" s="267"/>
      <c r="Y45" s="105"/>
      <c r="Z45" s="63"/>
      <c r="AA45" s="126" t="s">
        <v>787</v>
      </c>
      <c r="AB45" s="406"/>
      <c r="AC45" s="114"/>
      <c r="AD45" s="109"/>
      <c r="AE45" s="109"/>
      <c r="AF45" s="114"/>
      <c r="AG45" s="63"/>
      <c r="AH45" s="63"/>
      <c r="AI45" s="102"/>
      <c r="AP45" s="101"/>
      <c r="AQ45" s="252"/>
      <c r="AR45" s="244"/>
      <c r="AS45" s="244"/>
      <c r="AT45" s="246"/>
      <c r="CE45" s="101" t="s">
        <v>748</v>
      </c>
    </row>
    <row r="46" spans="2:83" ht="15.6" customHeight="1">
      <c r="B46" s="122"/>
      <c r="C46" s="265"/>
      <c r="D46" s="141"/>
      <c r="E46" s="145"/>
      <c r="F46" s="500"/>
      <c r="G46" s="540"/>
      <c r="H46" s="540"/>
      <c r="I46" s="540"/>
      <c r="J46" s="540"/>
      <c r="K46" s="149" t="s">
        <v>100</v>
      </c>
      <c r="L46" s="500"/>
      <c r="M46" s="501"/>
      <c r="N46" s="501"/>
      <c r="O46" s="501"/>
      <c r="P46" s="501"/>
      <c r="Q46" s="145" t="s">
        <v>134</v>
      </c>
      <c r="R46" s="134">
        <f t="shared" si="0"/>
        <v>0</v>
      </c>
      <c r="S46" s="152" t="s">
        <v>135</v>
      </c>
      <c r="T46" s="145"/>
      <c r="U46" s="142">
        <f t="shared" si="1"/>
        <v>0</v>
      </c>
      <c r="V46" s="145"/>
      <c r="W46" s="143" t="str">
        <f t="shared" si="2"/>
        <v/>
      </c>
      <c r="X46" s="267"/>
      <c r="Y46" s="105"/>
      <c r="Z46" s="85"/>
      <c r="AA46" s="85"/>
      <c r="AB46" s="85"/>
      <c r="AC46" s="85"/>
      <c r="AD46" s="85"/>
      <c r="AE46" s="85"/>
      <c r="AF46" s="85"/>
      <c r="AG46" s="85"/>
      <c r="AH46" s="85"/>
      <c r="AI46" s="102"/>
      <c r="AP46" s="101"/>
      <c r="AQ46" s="252"/>
      <c r="AR46" s="244"/>
      <c r="AS46" s="244"/>
      <c r="AT46" s="246"/>
      <c r="CE46" s="101" t="s">
        <v>749</v>
      </c>
    </row>
    <row r="47" spans="2:83" ht="15.6" customHeight="1">
      <c r="B47" s="122"/>
      <c r="C47" s="265"/>
      <c r="D47" s="141"/>
      <c r="E47" s="145"/>
      <c r="F47" s="500"/>
      <c r="G47" s="540"/>
      <c r="H47" s="540"/>
      <c r="I47" s="540"/>
      <c r="J47" s="540"/>
      <c r="K47" s="149" t="s">
        <v>100</v>
      </c>
      <c r="L47" s="500"/>
      <c r="M47" s="501"/>
      <c r="N47" s="501"/>
      <c r="O47" s="501"/>
      <c r="P47" s="501"/>
      <c r="Q47" s="145" t="s">
        <v>134</v>
      </c>
      <c r="R47" s="134">
        <f t="shared" si="0"/>
        <v>0</v>
      </c>
      <c r="S47" s="152" t="s">
        <v>135</v>
      </c>
      <c r="T47" s="145"/>
      <c r="U47" s="142">
        <f t="shared" si="1"/>
        <v>0</v>
      </c>
      <c r="V47" s="145"/>
      <c r="W47" s="143" t="str">
        <f t="shared" si="2"/>
        <v/>
      </c>
      <c r="X47" s="267"/>
      <c r="Y47" s="230">
        <v>90000214</v>
      </c>
      <c r="Z47" s="345" t="s">
        <v>55</v>
      </c>
      <c r="AA47" s="467" t="s">
        <v>57</v>
      </c>
      <c r="AB47" s="467"/>
      <c r="AC47" s="467"/>
      <c r="AD47" s="467"/>
      <c r="AE47" s="467"/>
      <c r="AF47" s="467"/>
      <c r="AG47" s="467"/>
      <c r="AH47" s="467"/>
      <c r="AI47" s="468"/>
    </row>
    <row r="48" spans="2:83" ht="15.6" customHeight="1">
      <c r="B48" s="122"/>
      <c r="C48" s="265"/>
      <c r="D48" s="141"/>
      <c r="E48" s="145"/>
      <c r="F48" s="500"/>
      <c r="G48" s="540"/>
      <c r="H48" s="540"/>
      <c r="I48" s="540"/>
      <c r="J48" s="540"/>
      <c r="K48" s="149" t="s">
        <v>100</v>
      </c>
      <c r="L48" s="500"/>
      <c r="M48" s="501"/>
      <c r="N48" s="501"/>
      <c r="O48" s="501"/>
      <c r="P48" s="501"/>
      <c r="Q48" s="145" t="s">
        <v>134</v>
      </c>
      <c r="R48" s="134">
        <f t="shared" si="0"/>
        <v>0</v>
      </c>
      <c r="S48" s="152" t="s">
        <v>135</v>
      </c>
      <c r="T48" s="145"/>
      <c r="U48" s="142">
        <f t="shared" si="1"/>
        <v>0</v>
      </c>
      <c r="V48" s="145"/>
      <c r="W48" s="143" t="str">
        <f t="shared" si="2"/>
        <v/>
      </c>
      <c r="X48" s="267"/>
      <c r="Y48" s="105"/>
      <c r="Z48" s="85"/>
      <c r="AA48" s="85" t="s">
        <v>102</v>
      </c>
      <c r="AB48" s="710"/>
      <c r="AC48" s="710"/>
      <c r="AD48" s="710"/>
      <c r="AE48" s="710"/>
      <c r="AF48" s="710"/>
      <c r="AG48" s="710"/>
      <c r="AH48" s="85"/>
      <c r="AI48" s="102"/>
      <c r="AJ48" s="135"/>
      <c r="AP48" s="252"/>
      <c r="AQ48" s="244"/>
      <c r="AR48" s="244"/>
      <c r="AS48" s="244"/>
      <c r="AT48" s="244"/>
      <c r="AU48" s="244"/>
      <c r="AV48" s="244"/>
      <c r="AW48" s="244"/>
      <c r="AX48" s="244"/>
      <c r="AY48" s="246"/>
    </row>
    <row r="49" spans="2:51" ht="15.6" customHeight="1">
      <c r="B49" s="122"/>
      <c r="C49" s="265"/>
      <c r="D49" s="141"/>
      <c r="E49" s="145"/>
      <c r="F49" s="500"/>
      <c r="G49" s="540"/>
      <c r="H49" s="540"/>
      <c r="I49" s="540"/>
      <c r="J49" s="540"/>
      <c r="K49" s="149" t="s">
        <v>100</v>
      </c>
      <c r="L49" s="500"/>
      <c r="M49" s="501"/>
      <c r="N49" s="501"/>
      <c r="O49" s="501"/>
      <c r="P49" s="501"/>
      <c r="Q49" s="145" t="s">
        <v>134</v>
      </c>
      <c r="R49" s="134">
        <f t="shared" si="0"/>
        <v>0</v>
      </c>
      <c r="S49" s="152" t="s">
        <v>135</v>
      </c>
      <c r="T49" s="145"/>
      <c r="U49" s="142">
        <f t="shared" si="1"/>
        <v>0</v>
      </c>
      <c r="V49" s="145"/>
      <c r="W49" s="143" t="str">
        <f t="shared" si="2"/>
        <v/>
      </c>
      <c r="X49" s="267"/>
      <c r="Y49" s="105"/>
      <c r="Z49" s="85"/>
      <c r="AA49" s="85" t="s">
        <v>667</v>
      </c>
      <c r="AB49" s="710" t="s">
        <v>782</v>
      </c>
      <c r="AC49" s="710"/>
      <c r="AD49" s="710"/>
      <c r="AE49" s="710"/>
      <c r="AF49" s="85"/>
      <c r="AG49" s="85"/>
      <c r="AH49" s="85"/>
      <c r="AI49" s="102"/>
      <c r="AP49" s="101"/>
      <c r="AQ49" s="334"/>
      <c r="AR49" s="244"/>
      <c r="AS49" s="244"/>
      <c r="AT49" s="244"/>
      <c r="AU49" s="244"/>
      <c r="AV49" s="244"/>
      <c r="AW49" s="244"/>
      <c r="AX49" s="244"/>
      <c r="AY49" s="246"/>
    </row>
    <row r="50" spans="2:51" ht="15.6" customHeight="1">
      <c r="B50" s="122"/>
      <c r="C50" s="265"/>
      <c r="D50" s="141"/>
      <c r="E50" s="145"/>
      <c r="F50" s="500"/>
      <c r="G50" s="540"/>
      <c r="H50" s="540"/>
      <c r="I50" s="540"/>
      <c r="J50" s="540"/>
      <c r="K50" s="149" t="s">
        <v>100</v>
      </c>
      <c r="L50" s="500"/>
      <c r="M50" s="501"/>
      <c r="N50" s="501"/>
      <c r="O50" s="501"/>
      <c r="P50" s="501"/>
      <c r="Q50" s="145" t="s">
        <v>134</v>
      </c>
      <c r="R50" s="134">
        <f t="shared" si="0"/>
        <v>0</v>
      </c>
      <c r="S50" s="152" t="s">
        <v>135</v>
      </c>
      <c r="T50" s="145"/>
      <c r="U50" s="142">
        <f t="shared" si="1"/>
        <v>0</v>
      </c>
      <c r="V50" s="145"/>
      <c r="W50" s="143" t="str">
        <f t="shared" si="2"/>
        <v/>
      </c>
      <c r="X50" s="267"/>
      <c r="Y50" s="105"/>
      <c r="Z50" s="85"/>
      <c r="AB50" s="85" t="s">
        <v>668</v>
      </c>
      <c r="AC50" s="563" t="s">
        <v>783</v>
      </c>
      <c r="AD50" s="563"/>
      <c r="AE50" s="563"/>
      <c r="AF50" s="563"/>
      <c r="AG50" s="563"/>
      <c r="AH50" s="85"/>
      <c r="AI50" s="102"/>
      <c r="AP50" s="101"/>
      <c r="AQ50" s="334"/>
      <c r="AR50" s="244"/>
      <c r="AS50" s="244"/>
      <c r="AT50" s="244"/>
      <c r="AU50" s="244"/>
      <c r="AV50" s="244"/>
      <c r="AW50" s="244"/>
      <c r="AX50" s="244"/>
      <c r="AY50" s="246"/>
    </row>
    <row r="51" spans="2:51" ht="15.6" customHeight="1">
      <c r="B51" s="122"/>
      <c r="C51" s="265"/>
      <c r="D51" s="141"/>
      <c r="E51" s="145"/>
      <c r="F51" s="500"/>
      <c r="G51" s="540"/>
      <c r="H51" s="540"/>
      <c r="I51" s="540"/>
      <c r="J51" s="540"/>
      <c r="K51" s="149" t="s">
        <v>100</v>
      </c>
      <c r="L51" s="500"/>
      <c r="M51" s="501"/>
      <c r="N51" s="501"/>
      <c r="O51" s="501"/>
      <c r="P51" s="501"/>
      <c r="Q51" s="145" t="s">
        <v>134</v>
      </c>
      <c r="R51" s="134">
        <f t="shared" si="0"/>
        <v>0</v>
      </c>
      <c r="S51" s="152" t="s">
        <v>135</v>
      </c>
      <c r="T51" s="145"/>
      <c r="U51" s="142">
        <f t="shared" si="1"/>
        <v>0</v>
      </c>
      <c r="V51" s="145"/>
      <c r="W51" s="143" t="str">
        <f t="shared" si="2"/>
        <v/>
      </c>
      <c r="X51" s="267"/>
      <c r="Y51" s="105"/>
      <c r="Z51" s="85"/>
      <c r="AB51" s="85" t="s">
        <v>650</v>
      </c>
      <c r="AC51" s="563" t="s">
        <v>784</v>
      </c>
      <c r="AD51" s="563"/>
      <c r="AE51" s="563"/>
      <c r="AF51" s="563"/>
      <c r="AG51" s="563"/>
      <c r="AH51" s="563"/>
      <c r="AI51" s="102" t="s">
        <v>0</v>
      </c>
      <c r="AP51" s="101"/>
      <c r="AQ51" s="334"/>
      <c r="AR51" s="244"/>
      <c r="AS51" s="244"/>
      <c r="AT51" s="244"/>
      <c r="AU51" s="244"/>
      <c r="AV51" s="244"/>
      <c r="AW51" s="244"/>
      <c r="AX51" s="244"/>
      <c r="AY51" s="246"/>
    </row>
    <row r="52" spans="2:51" ht="15.6" customHeight="1">
      <c r="B52" s="122"/>
      <c r="C52" s="265"/>
      <c r="D52" s="141"/>
      <c r="E52" s="145"/>
      <c r="F52" s="500"/>
      <c r="G52" s="540"/>
      <c r="H52" s="540"/>
      <c r="I52" s="540"/>
      <c r="J52" s="540"/>
      <c r="K52" s="149" t="s">
        <v>100</v>
      </c>
      <c r="L52" s="500"/>
      <c r="M52" s="501"/>
      <c r="N52" s="501"/>
      <c r="O52" s="501"/>
      <c r="P52" s="501"/>
      <c r="Q52" s="145" t="s">
        <v>134</v>
      </c>
      <c r="R52" s="134">
        <f t="shared" si="0"/>
        <v>0</v>
      </c>
      <c r="S52" s="152" t="s">
        <v>135</v>
      </c>
      <c r="T52" s="145"/>
      <c r="U52" s="142">
        <f t="shared" si="1"/>
        <v>0</v>
      </c>
      <c r="V52" s="145"/>
      <c r="W52" s="143" t="str">
        <f t="shared" si="2"/>
        <v/>
      </c>
      <c r="X52" s="267"/>
      <c r="AB52" s="82" t="s">
        <v>687</v>
      </c>
      <c r="AD52" s="82" t="s">
        <v>688</v>
      </c>
      <c r="AE52" s="315">
        <v>3</v>
      </c>
      <c r="AG52" s="82" t="s">
        <v>689</v>
      </c>
      <c r="AH52" s="315"/>
      <c r="AI52" s="102"/>
      <c r="AP52" s="101"/>
      <c r="AQ52" s="334"/>
      <c r="AR52" s="244"/>
      <c r="AS52" s="244"/>
      <c r="AT52" s="244"/>
      <c r="AU52" s="244"/>
      <c r="AV52" s="244"/>
      <c r="AW52" s="244"/>
      <c r="AX52" s="244"/>
      <c r="AY52" s="246"/>
    </row>
    <row r="53" spans="2:51" ht="15.6" customHeight="1">
      <c r="B53" s="122"/>
      <c r="C53" s="265"/>
      <c r="D53" s="141"/>
      <c r="E53" s="145"/>
      <c r="F53" s="500"/>
      <c r="G53" s="540"/>
      <c r="H53" s="540"/>
      <c r="I53" s="540"/>
      <c r="J53" s="540"/>
      <c r="K53" s="149" t="s">
        <v>100</v>
      </c>
      <c r="L53" s="500"/>
      <c r="M53" s="501"/>
      <c r="N53" s="501"/>
      <c r="O53" s="501"/>
      <c r="P53" s="501"/>
      <c r="Q53" s="145" t="s">
        <v>134</v>
      </c>
      <c r="R53" s="134">
        <f t="shared" si="0"/>
        <v>0</v>
      </c>
      <c r="S53" s="152" t="s">
        <v>135</v>
      </c>
      <c r="T53" s="145"/>
      <c r="U53" s="142">
        <f t="shared" si="1"/>
        <v>0</v>
      </c>
      <c r="V53" s="145"/>
      <c r="W53" s="143" t="str">
        <f t="shared" si="2"/>
        <v/>
      </c>
      <c r="X53" s="267"/>
      <c r="AI53" s="102"/>
      <c r="AP53" s="101"/>
      <c r="AQ53" s="334"/>
      <c r="AR53" s="244"/>
      <c r="AS53" s="244"/>
      <c r="AT53" s="244"/>
      <c r="AU53" s="244"/>
      <c r="AV53" s="244"/>
      <c r="AW53" s="244"/>
      <c r="AX53" s="244"/>
      <c r="AY53" s="246"/>
    </row>
    <row r="54" spans="2:51" ht="15.6" customHeight="1">
      <c r="C54" s="265"/>
      <c r="D54" s="141"/>
      <c r="E54" s="145" t="s">
        <v>234</v>
      </c>
      <c r="F54" s="500"/>
      <c r="G54" s="540"/>
      <c r="H54" s="540"/>
      <c r="I54" s="540"/>
      <c r="J54" s="540"/>
      <c r="K54" s="149" t="s">
        <v>100</v>
      </c>
      <c r="L54" s="500"/>
      <c r="M54" s="501"/>
      <c r="N54" s="501"/>
      <c r="O54" s="501"/>
      <c r="P54" s="501"/>
      <c r="Q54" s="145" t="s">
        <v>134</v>
      </c>
      <c r="R54" s="134">
        <f t="shared" si="0"/>
        <v>0</v>
      </c>
      <c r="S54" s="152" t="s">
        <v>135</v>
      </c>
      <c r="T54" s="145"/>
      <c r="U54" s="142">
        <f t="shared" si="1"/>
        <v>0</v>
      </c>
      <c r="V54" s="145"/>
      <c r="W54" s="143" t="str">
        <f t="shared" si="2"/>
        <v/>
      </c>
      <c r="X54" s="267"/>
      <c r="Y54" s="230">
        <v>90000214</v>
      </c>
      <c r="Z54" s="345" t="s">
        <v>60</v>
      </c>
      <c r="AA54" s="337"/>
      <c r="AB54" s="337"/>
      <c r="AC54" s="337"/>
      <c r="AD54" s="337"/>
      <c r="AE54" s="337"/>
      <c r="AF54" s="337"/>
      <c r="AG54" s="337"/>
      <c r="AH54" s="337"/>
      <c r="AI54" s="342"/>
      <c r="AP54" s="101"/>
      <c r="AQ54" s="334"/>
      <c r="AR54" s="244"/>
      <c r="AS54" s="244"/>
      <c r="AT54" s="244"/>
      <c r="AU54" s="244"/>
      <c r="AV54" s="244"/>
      <c r="AW54" s="244"/>
      <c r="AX54" s="244"/>
      <c r="AY54" s="246"/>
    </row>
    <row r="55" spans="2:51" ht="15.6" customHeight="1">
      <c r="C55" s="105"/>
      <c r="D55" s="141"/>
      <c r="E55" s="145" t="s">
        <v>234</v>
      </c>
      <c r="F55" s="500"/>
      <c r="G55" s="540"/>
      <c r="H55" s="540"/>
      <c r="I55" s="540"/>
      <c r="J55" s="540"/>
      <c r="K55" s="149" t="s">
        <v>100</v>
      </c>
      <c r="L55" s="500"/>
      <c r="M55" s="501"/>
      <c r="N55" s="501"/>
      <c r="O55" s="501"/>
      <c r="P55" s="501"/>
      <c r="Q55" s="145" t="s">
        <v>134</v>
      </c>
      <c r="R55" s="134">
        <f t="shared" si="0"/>
        <v>0</v>
      </c>
      <c r="S55" s="152" t="s">
        <v>135</v>
      </c>
      <c r="T55" s="145"/>
      <c r="U55" s="142">
        <f t="shared" si="1"/>
        <v>0</v>
      </c>
      <c r="V55" s="145"/>
      <c r="W55" s="143" t="str">
        <f t="shared" si="2"/>
        <v/>
      </c>
      <c r="X55" s="102"/>
      <c r="AA55" s="710" t="s">
        <v>61</v>
      </c>
      <c r="AB55" s="710"/>
      <c r="AC55" s="710"/>
      <c r="AD55" s="710"/>
      <c r="AE55" s="710"/>
      <c r="AF55" s="710"/>
      <c r="AI55" s="102"/>
      <c r="AP55" s="101"/>
      <c r="AQ55" s="334"/>
      <c r="AR55" s="244"/>
      <c r="AS55" s="244"/>
      <c r="AT55" s="244"/>
      <c r="AU55" s="244"/>
      <c r="AV55" s="244"/>
      <c r="AW55" s="244"/>
      <c r="AX55" s="244"/>
      <c r="AY55" s="246"/>
    </row>
    <row r="56" spans="2:51" ht="15.6" customHeight="1">
      <c r="C56" s="105"/>
      <c r="D56" s="141"/>
      <c r="E56" s="145" t="s">
        <v>234</v>
      </c>
      <c r="F56" s="500"/>
      <c r="G56" s="540"/>
      <c r="H56" s="540"/>
      <c r="I56" s="540"/>
      <c r="J56" s="540"/>
      <c r="K56" s="149" t="s">
        <v>100</v>
      </c>
      <c r="L56" s="500"/>
      <c r="M56" s="501"/>
      <c r="N56" s="501"/>
      <c r="O56" s="501"/>
      <c r="P56" s="501"/>
      <c r="Q56" s="145" t="s">
        <v>134</v>
      </c>
      <c r="R56" s="134">
        <f t="shared" si="0"/>
        <v>0</v>
      </c>
      <c r="S56" s="152" t="s">
        <v>135</v>
      </c>
      <c r="T56" s="145"/>
      <c r="U56" s="142">
        <f t="shared" si="1"/>
        <v>0</v>
      </c>
      <c r="V56" s="145"/>
      <c r="W56" s="143" t="str">
        <f t="shared" si="2"/>
        <v/>
      </c>
      <c r="X56" s="102"/>
      <c r="Y56" s="105"/>
      <c r="Z56" s="85"/>
      <c r="AA56" s="80" t="s">
        <v>669</v>
      </c>
      <c r="AG56" s="85"/>
      <c r="AH56" s="85"/>
      <c r="AI56" s="102"/>
      <c r="AP56" s="101"/>
      <c r="AQ56" s="334"/>
      <c r="AR56" s="244"/>
      <c r="AS56" s="244"/>
      <c r="AT56" s="244"/>
      <c r="AU56" s="244"/>
      <c r="AV56" s="244"/>
      <c r="AW56" s="244"/>
      <c r="AX56" s="244"/>
      <c r="AY56" s="246"/>
    </row>
    <row r="57" spans="2:51" ht="15.6" customHeight="1">
      <c r="C57" s="105"/>
      <c r="D57" s="141"/>
      <c r="E57" s="145" t="s">
        <v>234</v>
      </c>
      <c r="F57" s="500"/>
      <c r="G57" s="540"/>
      <c r="H57" s="540"/>
      <c r="I57" s="540"/>
      <c r="J57" s="540"/>
      <c r="K57" s="149" t="s">
        <v>100</v>
      </c>
      <c r="L57" s="500"/>
      <c r="M57" s="501"/>
      <c r="N57" s="501"/>
      <c r="O57" s="501"/>
      <c r="P57" s="501"/>
      <c r="Q57" s="145" t="s">
        <v>134</v>
      </c>
      <c r="R57" s="134">
        <f t="shared" si="0"/>
        <v>0</v>
      </c>
      <c r="S57" s="152" t="s">
        <v>135</v>
      </c>
      <c r="T57" s="145"/>
      <c r="U57" s="142">
        <f t="shared" si="1"/>
        <v>0</v>
      </c>
      <c r="V57" s="145"/>
      <c r="W57" s="143" t="str">
        <f t="shared" si="2"/>
        <v/>
      </c>
      <c r="X57" s="102"/>
      <c r="Y57" s="105"/>
      <c r="Z57" s="284" t="s">
        <v>753</v>
      </c>
      <c r="AB57" s="85"/>
      <c r="AC57" s="85"/>
      <c r="AD57" s="85"/>
      <c r="AE57" s="85"/>
      <c r="AF57" s="85"/>
      <c r="AG57" s="85"/>
      <c r="AH57" s="85"/>
      <c r="AI57" s="102"/>
      <c r="AP57" s="101"/>
      <c r="AQ57" s="334"/>
      <c r="AR57" s="244"/>
      <c r="AS57" s="244"/>
      <c r="AT57" s="244"/>
      <c r="AU57" s="244"/>
      <c r="AV57" s="244"/>
      <c r="AW57" s="244"/>
      <c r="AX57" s="244"/>
      <c r="AY57" s="246"/>
    </row>
    <row r="58" spans="2:51" ht="15.6" customHeight="1">
      <c r="C58" s="105"/>
      <c r="D58" s="145"/>
      <c r="E58" s="145"/>
      <c r="F58" s="145"/>
      <c r="G58" s="145"/>
      <c r="H58" s="145"/>
      <c r="I58" s="145"/>
      <c r="J58" s="145"/>
      <c r="K58" s="145"/>
      <c r="L58" s="145"/>
      <c r="M58" s="145"/>
      <c r="N58" s="145"/>
      <c r="O58" s="146"/>
      <c r="P58" s="145"/>
      <c r="Q58" s="145"/>
      <c r="R58" s="147"/>
      <c r="S58" s="145"/>
      <c r="T58" s="145"/>
      <c r="U58" s="145"/>
      <c r="V58" s="145"/>
      <c r="W58" s="145"/>
      <c r="X58" s="102"/>
      <c r="Y58" s="346"/>
      <c r="Z58" s="336" t="s">
        <v>101</v>
      </c>
      <c r="AA58" s="341"/>
      <c r="AB58" s="347"/>
      <c r="AC58" s="347"/>
      <c r="AD58" s="341"/>
      <c r="AE58" s="341"/>
      <c r="AF58" s="341" t="s">
        <v>761</v>
      </c>
      <c r="AG58" s="341"/>
      <c r="AH58" s="341"/>
      <c r="AI58" s="348"/>
      <c r="AP58" s="101"/>
      <c r="AQ58" s="334"/>
      <c r="AR58" s="244"/>
      <c r="AS58" s="244"/>
      <c r="AT58" s="244"/>
      <c r="AU58" s="244"/>
      <c r="AV58" s="244"/>
      <c r="AW58" s="244"/>
      <c r="AX58" s="244"/>
      <c r="AY58" s="246"/>
    </row>
    <row r="59" spans="2:51" ht="15.6" customHeight="1">
      <c r="C59" s="105"/>
      <c r="D59" s="145"/>
      <c r="E59" s="145"/>
      <c r="F59" s="145"/>
      <c r="G59" s="145"/>
      <c r="H59" s="145"/>
      <c r="I59" s="145"/>
      <c r="J59" s="145"/>
      <c r="K59" s="145"/>
      <c r="L59" s="145"/>
      <c r="M59" s="145"/>
      <c r="N59" s="145"/>
      <c r="O59" s="149" t="s">
        <v>142</v>
      </c>
      <c r="P59" s="145"/>
      <c r="Q59" s="516">
        <f>ROUND(SUM(R42:R58),2)</f>
        <v>4</v>
      </c>
      <c r="R59" s="516"/>
      <c r="S59" s="145"/>
      <c r="T59" s="517">
        <f>SUM(U42:U57)</f>
        <v>120</v>
      </c>
      <c r="U59" s="517"/>
      <c r="V59" s="517">
        <f>SUM(W42:W57)</f>
        <v>120</v>
      </c>
      <c r="W59" s="517"/>
      <c r="X59" s="102"/>
      <c r="Y59" s="125" t="s">
        <v>166</v>
      </c>
      <c r="Z59" s="712"/>
      <c r="AA59" s="712"/>
      <c r="AB59" s="126"/>
      <c r="AC59" s="711"/>
      <c r="AD59" s="711"/>
      <c r="AE59" s="109"/>
      <c r="AF59" s="712"/>
      <c r="AG59" s="712"/>
      <c r="AH59" s="712"/>
      <c r="AI59" s="713"/>
    </row>
    <row r="60" spans="2:51" ht="15.6" customHeight="1" thickBot="1">
      <c r="C60" s="128"/>
      <c r="D60" s="111"/>
      <c r="E60" s="111"/>
      <c r="F60" s="111"/>
      <c r="G60" s="111"/>
      <c r="H60" s="111"/>
      <c r="I60" s="111"/>
      <c r="J60" s="111"/>
      <c r="K60" s="111"/>
      <c r="L60" s="111"/>
      <c r="M60" s="111"/>
      <c r="N60" s="111"/>
      <c r="O60" s="111"/>
      <c r="P60" s="111"/>
      <c r="Q60" s="111"/>
      <c r="R60" s="111"/>
      <c r="S60" s="111"/>
      <c r="T60" s="111"/>
      <c r="U60" s="111"/>
      <c r="V60" s="111"/>
      <c r="W60" s="111"/>
      <c r="X60" s="113"/>
      <c r="Y60" s="230">
        <v>90000214</v>
      </c>
      <c r="Z60" s="108"/>
      <c r="AA60" s="420" t="s">
        <v>757</v>
      </c>
      <c r="AB60" s="421" t="s">
        <v>758</v>
      </c>
      <c r="AC60" s="420"/>
      <c r="AD60" s="422" t="s">
        <v>759</v>
      </c>
      <c r="AE60" s="423" t="s">
        <v>760</v>
      </c>
      <c r="AF60" s="86"/>
      <c r="AG60" s="110"/>
      <c r="AH60" s="549"/>
      <c r="AI60" s="550"/>
    </row>
    <row r="61" spans="2:51" ht="15.6" customHeight="1" thickBot="1">
      <c r="C61" s="495" t="s">
        <v>664</v>
      </c>
      <c r="D61" s="496"/>
      <c r="E61" s="496"/>
      <c r="F61" s="496"/>
      <c r="G61" s="496"/>
      <c r="H61" s="496"/>
      <c r="I61" s="496"/>
      <c r="J61" s="496"/>
      <c r="K61" s="496"/>
      <c r="L61" s="496"/>
      <c r="M61" s="496"/>
      <c r="N61" s="496"/>
      <c r="O61" s="496"/>
      <c r="P61" s="496"/>
      <c r="Q61" s="496"/>
      <c r="R61" s="496"/>
      <c r="S61" s="496"/>
      <c r="T61" s="496"/>
      <c r="U61" s="496"/>
      <c r="V61" s="496"/>
      <c r="W61" s="496"/>
      <c r="X61" s="497"/>
      <c r="Y61" s="105"/>
      <c r="Z61" s="108" t="s">
        <v>239</v>
      </c>
      <c r="AA61" s="330"/>
      <c r="AB61" s="394"/>
      <c r="AC61" s="109" t="s">
        <v>89</v>
      </c>
      <c r="AD61" s="393"/>
      <c r="AE61" s="391"/>
      <c r="AF61" s="86" t="s">
        <v>90</v>
      </c>
      <c r="AG61" s="392">
        <f>通貨区分4</f>
        <v>0</v>
      </c>
      <c r="AH61" s="549">
        <f>ETC1UnitPriceForeign*工数4</f>
        <v>0</v>
      </c>
      <c r="AI61" s="550"/>
    </row>
    <row r="62" spans="2:51" ht="15.6" customHeight="1">
      <c r="C62" s="105"/>
      <c r="D62" s="85"/>
      <c r="E62" s="85"/>
      <c r="F62" s="85"/>
      <c r="G62" s="85"/>
      <c r="H62" s="85"/>
      <c r="I62" s="85"/>
      <c r="J62" s="85"/>
      <c r="K62" s="85"/>
      <c r="L62" s="85"/>
      <c r="M62" s="85"/>
      <c r="N62" s="85"/>
      <c r="O62" s="85"/>
      <c r="P62" s="85"/>
      <c r="Q62" s="85"/>
      <c r="R62" s="85"/>
      <c r="S62" s="85"/>
      <c r="T62" s="85"/>
      <c r="U62" s="85"/>
      <c r="V62" s="85"/>
      <c r="W62" s="85"/>
      <c r="X62" s="102"/>
      <c r="Y62" s="105"/>
      <c r="Z62" s="109"/>
      <c r="AA62" s="109"/>
      <c r="AB62" s="406"/>
      <c r="AC62" s="109"/>
      <c r="AD62" s="114"/>
      <c r="AE62" s="114"/>
      <c r="AF62" s="86"/>
      <c r="AG62" s="63"/>
      <c r="AH62" s="63"/>
      <c r="AI62" s="102"/>
    </row>
    <row r="63" spans="2:51" ht="15.6" customHeight="1">
      <c r="C63" s="105"/>
      <c r="D63" s="475" t="s">
        <v>774</v>
      </c>
      <c r="E63" s="475"/>
      <c r="F63" s="475"/>
      <c r="G63" s="475"/>
      <c r="H63" s="475"/>
      <c r="I63" s="475"/>
      <c r="J63" s="475"/>
      <c r="K63" s="475"/>
      <c r="L63" s="475"/>
      <c r="M63" s="475"/>
      <c r="N63" s="475"/>
      <c r="O63" s="475"/>
      <c r="P63" s="475"/>
      <c r="Q63" s="475"/>
      <c r="R63" s="475"/>
      <c r="S63" s="475"/>
      <c r="T63" s="475"/>
      <c r="U63" s="475"/>
      <c r="V63" s="475"/>
      <c r="W63" s="475"/>
      <c r="X63" s="102"/>
      <c r="Y63" s="127"/>
      <c r="Z63" s="63"/>
      <c r="AA63" s="126"/>
      <c r="AB63" s="126"/>
      <c r="AC63" s="126"/>
      <c r="AD63" s="126"/>
      <c r="AE63" s="126"/>
      <c r="AF63" s="126" t="s">
        <v>762</v>
      </c>
      <c r="AG63" s="63"/>
      <c r="AH63" s="63"/>
      <c r="AI63" s="124"/>
    </row>
    <row r="64" spans="2:51" ht="15.6" customHeight="1">
      <c r="C64" s="105"/>
      <c r="D64" s="475" t="s">
        <v>775</v>
      </c>
      <c r="E64" s="475"/>
      <c r="F64" s="475"/>
      <c r="G64" s="475"/>
      <c r="H64" s="475"/>
      <c r="I64" s="475"/>
      <c r="J64" s="475"/>
      <c r="K64" s="475"/>
      <c r="L64" s="475"/>
      <c r="M64" s="475"/>
      <c r="N64" s="475"/>
      <c r="O64" s="475"/>
      <c r="P64" s="475"/>
      <c r="Q64" s="475"/>
      <c r="R64" s="475"/>
      <c r="S64" s="475"/>
      <c r="T64" s="475"/>
      <c r="U64" s="475"/>
      <c r="V64" s="475"/>
      <c r="W64" s="475"/>
      <c r="X64" s="102"/>
      <c r="Y64" s="125" t="s">
        <v>167</v>
      </c>
      <c r="Z64" s="712"/>
      <c r="AA64" s="712"/>
      <c r="AB64" s="126"/>
      <c r="AC64" s="711"/>
      <c r="AD64" s="711"/>
      <c r="AE64" s="109"/>
      <c r="AF64" s="712"/>
      <c r="AG64" s="712"/>
      <c r="AH64" s="712"/>
      <c r="AI64" s="713"/>
    </row>
    <row r="65" spans="3:35" ht="15.6" customHeight="1">
      <c r="C65" s="105"/>
      <c r="D65" s="475" t="s">
        <v>785</v>
      </c>
      <c r="E65" s="475"/>
      <c r="F65" s="475"/>
      <c r="G65" s="475"/>
      <c r="H65" s="475"/>
      <c r="I65" s="475"/>
      <c r="J65" s="475"/>
      <c r="K65" s="475"/>
      <c r="L65" s="475"/>
      <c r="M65" s="475"/>
      <c r="N65" s="475"/>
      <c r="O65" s="475"/>
      <c r="P65" s="475"/>
      <c r="Q65" s="475"/>
      <c r="R65" s="475"/>
      <c r="S65" s="475"/>
      <c r="T65" s="475"/>
      <c r="U65" s="475"/>
      <c r="V65" s="475"/>
      <c r="W65" s="475"/>
      <c r="X65" s="102"/>
      <c r="Y65" s="230">
        <v>90000214</v>
      </c>
      <c r="Z65" s="108"/>
      <c r="AA65" s="420" t="s">
        <v>28</v>
      </c>
      <c r="AB65" s="421" t="s">
        <v>404</v>
      </c>
      <c r="AC65" s="420"/>
      <c r="AD65" s="422" t="s">
        <v>407</v>
      </c>
      <c r="AE65" s="423" t="s">
        <v>760</v>
      </c>
      <c r="AF65" s="86"/>
      <c r="AG65" s="110"/>
      <c r="AH65" s="549"/>
      <c r="AI65" s="550"/>
    </row>
    <row r="66" spans="3:35" ht="15.6" customHeight="1">
      <c r="C66" s="105"/>
      <c r="D66" s="475" t="s">
        <v>786</v>
      </c>
      <c r="E66" s="475"/>
      <c r="F66" s="475"/>
      <c r="G66" s="475"/>
      <c r="H66" s="475"/>
      <c r="I66" s="475"/>
      <c r="J66" s="475"/>
      <c r="K66" s="475"/>
      <c r="L66" s="475"/>
      <c r="M66" s="475"/>
      <c r="N66" s="475"/>
      <c r="O66" s="475"/>
      <c r="P66" s="475"/>
      <c r="Q66" s="475"/>
      <c r="R66" s="475"/>
      <c r="S66" s="475"/>
      <c r="T66" s="475"/>
      <c r="U66" s="475"/>
      <c r="V66" s="475"/>
      <c r="W66" s="475"/>
      <c r="X66" s="102"/>
      <c r="Y66" s="105"/>
      <c r="Z66" s="108" t="s">
        <v>239</v>
      </c>
      <c r="AA66" s="330"/>
      <c r="AB66" s="394"/>
      <c r="AC66" s="109" t="s">
        <v>89</v>
      </c>
      <c r="AD66" s="393"/>
      <c r="AE66" s="391"/>
      <c r="AF66" s="86" t="s">
        <v>90</v>
      </c>
      <c r="AG66" s="392">
        <f>通貨区分5</f>
        <v>0</v>
      </c>
      <c r="AH66" s="714">
        <f>ETC2UnitPriceForeign*工数5</f>
        <v>0</v>
      </c>
      <c r="AI66" s="715"/>
    </row>
    <row r="67" spans="3:35" ht="15.6" customHeight="1">
      <c r="C67" s="127"/>
      <c r="D67" s="475"/>
      <c r="E67" s="475"/>
      <c r="F67" s="475"/>
      <c r="G67" s="475"/>
      <c r="H67" s="475"/>
      <c r="I67" s="475"/>
      <c r="J67" s="475"/>
      <c r="K67" s="475"/>
      <c r="L67" s="475"/>
      <c r="M67" s="475"/>
      <c r="N67" s="475"/>
      <c r="O67" s="475"/>
      <c r="P67" s="475"/>
      <c r="Q67" s="475"/>
      <c r="R67" s="475"/>
      <c r="S67" s="475"/>
      <c r="T67" s="475"/>
      <c r="U67" s="475"/>
      <c r="V67" s="475"/>
      <c r="W67" s="475"/>
      <c r="X67" s="124"/>
      <c r="Y67" s="105"/>
      <c r="Z67" s="109"/>
      <c r="AA67" s="109"/>
      <c r="AB67" s="406"/>
      <c r="AC67" s="109"/>
      <c r="AD67" s="114"/>
      <c r="AE67" s="114"/>
      <c r="AF67" s="86"/>
      <c r="AG67" s="63"/>
      <c r="AH67" s="63"/>
      <c r="AI67" s="102"/>
    </row>
    <row r="68" spans="3:35" ht="15.6" customHeight="1">
      <c r="C68" s="127"/>
      <c r="D68" s="476"/>
      <c r="E68" s="476"/>
      <c r="F68" s="476"/>
      <c r="G68" s="476"/>
      <c r="H68" s="476"/>
      <c r="I68" s="476"/>
      <c r="J68" s="476"/>
      <c r="K68" s="476"/>
      <c r="L68" s="476"/>
      <c r="M68" s="476"/>
      <c r="N68" s="476"/>
      <c r="O68" s="476"/>
      <c r="P68" s="476"/>
      <c r="Q68" s="476"/>
      <c r="R68" s="476"/>
      <c r="S68" s="476"/>
      <c r="T68" s="476"/>
      <c r="U68" s="476"/>
      <c r="V68" s="476"/>
      <c r="W68" s="476"/>
      <c r="X68" s="124"/>
      <c r="Y68" s="127"/>
      <c r="Z68" s="63"/>
      <c r="AA68" s="126"/>
      <c r="AB68" s="126">
        <v>0</v>
      </c>
      <c r="AC68" s="126"/>
      <c r="AD68" s="126"/>
      <c r="AE68" s="126"/>
      <c r="AF68" s="126" t="s">
        <v>762</v>
      </c>
      <c r="AG68" s="63"/>
      <c r="AH68" s="63"/>
      <c r="AI68" s="124"/>
    </row>
    <row r="69" spans="3:35" ht="15.6" customHeight="1">
      <c r="C69" s="127"/>
      <c r="D69" s="63"/>
      <c r="E69" s="63"/>
      <c r="F69" s="63"/>
      <c r="G69" s="63"/>
      <c r="H69" s="63"/>
      <c r="I69" s="63"/>
      <c r="J69" s="63"/>
      <c r="K69" s="63"/>
      <c r="L69" s="63"/>
      <c r="M69" s="63"/>
      <c r="N69" s="63"/>
      <c r="O69" s="63"/>
      <c r="P69" s="63"/>
      <c r="Q69" s="63"/>
      <c r="R69" s="63"/>
      <c r="S69" s="63"/>
      <c r="T69" s="63"/>
      <c r="U69" s="63"/>
      <c r="V69" s="63"/>
      <c r="W69" s="63"/>
      <c r="X69" s="124"/>
      <c r="Y69" s="125" t="s">
        <v>168</v>
      </c>
      <c r="Z69" s="712"/>
      <c r="AA69" s="712"/>
      <c r="AB69" s="126"/>
      <c r="AC69" s="711"/>
      <c r="AD69" s="711"/>
      <c r="AE69" s="109"/>
      <c r="AF69" s="712"/>
      <c r="AG69" s="712"/>
      <c r="AH69" s="712"/>
      <c r="AI69" s="713"/>
    </row>
    <row r="70" spans="3:35" ht="15.6" customHeight="1" thickBot="1">
      <c r="C70" s="229"/>
      <c r="Y70" s="230">
        <v>90000214</v>
      </c>
      <c r="Z70" s="108"/>
      <c r="AA70" s="420" t="s">
        <v>28</v>
      </c>
      <c r="AB70" s="421" t="s">
        <v>404</v>
      </c>
      <c r="AC70" s="420"/>
      <c r="AD70" s="422" t="s">
        <v>407</v>
      </c>
      <c r="AE70" s="423" t="s">
        <v>760</v>
      </c>
      <c r="AF70" s="86"/>
      <c r="AG70" s="110"/>
      <c r="AH70" s="549"/>
      <c r="AI70" s="550"/>
    </row>
    <row r="71" spans="3:35" ht="15.6" customHeight="1" thickBot="1">
      <c r="C71" s="495" t="s">
        <v>665</v>
      </c>
      <c r="D71" s="496"/>
      <c r="E71" s="496"/>
      <c r="F71" s="496"/>
      <c r="G71" s="496"/>
      <c r="H71" s="496"/>
      <c r="I71" s="496"/>
      <c r="J71" s="496"/>
      <c r="K71" s="496"/>
      <c r="L71" s="496"/>
      <c r="M71" s="496"/>
      <c r="N71" s="496"/>
      <c r="O71" s="496"/>
      <c r="P71" s="496"/>
      <c r="Q71" s="496"/>
      <c r="R71" s="496"/>
      <c r="S71" s="496"/>
      <c r="T71" s="496"/>
      <c r="U71" s="496"/>
      <c r="V71" s="496"/>
      <c r="W71" s="496"/>
      <c r="X71" s="497"/>
      <c r="Y71" s="105"/>
      <c r="Z71" s="108" t="s">
        <v>239</v>
      </c>
      <c r="AA71" s="330"/>
      <c r="AB71" s="394"/>
      <c r="AC71" s="109" t="s">
        <v>89</v>
      </c>
      <c r="AD71" s="393"/>
      <c r="AE71" s="391"/>
      <c r="AF71" s="86" t="s">
        <v>90</v>
      </c>
      <c r="AG71" s="110">
        <f>通貨区分6</f>
        <v>0</v>
      </c>
      <c r="AH71" s="547">
        <f>ETC3UnitPriceForeign*工数6</f>
        <v>0</v>
      </c>
      <c r="AI71" s="548"/>
    </row>
    <row r="72" spans="3:35" ht="15.6" customHeight="1">
      <c r="C72" s="144"/>
      <c r="D72" s="145"/>
      <c r="E72" s="145"/>
      <c r="F72" s="145"/>
      <c r="G72" s="145"/>
      <c r="H72" s="145"/>
      <c r="I72" s="145"/>
      <c r="J72" s="145"/>
      <c r="K72" s="145"/>
      <c r="L72" s="153"/>
      <c r="M72" s="145"/>
      <c r="N72" s="145"/>
      <c r="O72" s="145"/>
      <c r="P72" s="145"/>
      <c r="Q72" s="145"/>
      <c r="R72" s="145"/>
      <c r="S72" s="145"/>
      <c r="T72" s="145"/>
      <c r="U72" s="154"/>
      <c r="V72" s="145"/>
      <c r="W72" s="145"/>
      <c r="X72" s="148"/>
      <c r="Y72" s="105"/>
      <c r="AA72" s="109"/>
      <c r="AB72" s="406"/>
      <c r="AC72" s="109"/>
      <c r="AD72" s="114"/>
      <c r="AE72" s="114"/>
      <c r="AF72" s="86"/>
      <c r="AG72" s="63"/>
      <c r="AH72" s="63"/>
      <c r="AI72" s="102"/>
    </row>
    <row r="73" spans="3:35" ht="15.6" customHeight="1">
      <c r="C73" s="144"/>
      <c r="X73" s="148"/>
      <c r="AI73" s="102"/>
    </row>
    <row r="74" spans="3:35" ht="15.6" customHeight="1" thickBot="1">
      <c r="C74" s="151"/>
      <c r="X74" s="148"/>
      <c r="AI74" s="102"/>
    </row>
    <row r="75" spans="3:35" ht="20.100000000000001" customHeight="1" thickBot="1">
      <c r="C75" s="151"/>
      <c r="X75" s="148"/>
      <c r="Y75" s="118" t="s">
        <v>103</v>
      </c>
      <c r="Z75" s="119"/>
      <c r="AA75" s="119"/>
      <c r="AB75" s="119"/>
      <c r="AC75" s="119"/>
      <c r="AD75" s="119"/>
      <c r="AE75" s="544">
        <f>SUM(AH27,IF(AC31="支給しない",0,IF(AC31="J'sNAVIにて精算",0,AH35)),IF(OR(AC39="支給しないが宿舎提供",AC39="支給しない"),0,IF(AC39="J'sNAVIにて精算",0,AH43)),IF(OR(Z59="使用目的を入力",Z59=""),0,AH60),,IF(OR(Z64="使用目的を入力",Z64=""),0,AH65),IF(OR(Z69="使用目的を入力",Z69=""),0,AH70))</f>
        <v>0</v>
      </c>
      <c r="AF75" s="545"/>
      <c r="AG75" s="545"/>
      <c r="AH75" s="545"/>
      <c r="AI75" s="546"/>
    </row>
    <row r="76" spans="3:35" ht="15.6" customHeight="1" thickBot="1">
      <c r="C76" s="151"/>
      <c r="D76" s="333" t="s">
        <v>651</v>
      </c>
      <c r="X76" s="148"/>
      <c r="AI76" s="269"/>
    </row>
    <row r="77" spans="3:35" ht="20.100000000000001" customHeight="1" thickBot="1">
      <c r="C77" s="151"/>
      <c r="D77" s="260" t="s">
        <v>652</v>
      </c>
      <c r="E77" s="260"/>
      <c r="F77" s="477"/>
      <c r="G77" s="477"/>
      <c r="H77" s="477"/>
      <c r="I77" s="477"/>
      <c r="J77" s="477"/>
      <c r="K77" s="477"/>
      <c r="L77" s="477"/>
      <c r="M77" s="477"/>
      <c r="N77" s="477"/>
      <c r="O77" s="477"/>
      <c r="P77" s="477"/>
      <c r="Q77" s="477"/>
      <c r="R77" s="477"/>
      <c r="S77" s="477"/>
      <c r="T77" s="477"/>
      <c r="U77" s="477"/>
      <c r="V77" s="477"/>
      <c r="W77" s="477"/>
      <c r="X77" s="271" t="s">
        <v>0</v>
      </c>
      <c r="Y77" s="105" t="s">
        <v>105</v>
      </c>
      <c r="Z77" s="85"/>
      <c r="AA77" s="123" t="s">
        <v>702</v>
      </c>
      <c r="AB77" s="568">
        <v>0.08</v>
      </c>
      <c r="AC77" s="569"/>
      <c r="AD77" s="85"/>
      <c r="AE77" s="557">
        <f>ROUNDDOWN((本体額*消費税率combobox),0)</f>
        <v>0</v>
      </c>
      <c r="AF77" s="558"/>
      <c r="AG77" s="558"/>
      <c r="AH77" s="558"/>
      <c r="AI77" s="559"/>
    </row>
    <row r="78" spans="3:35" ht="20.100000000000001" customHeight="1" thickBot="1">
      <c r="C78" s="151"/>
      <c r="X78" s="148"/>
      <c r="Y78" s="128" t="s">
        <v>106</v>
      </c>
      <c r="Z78" s="111"/>
      <c r="AA78" s="111"/>
      <c r="AB78" s="111"/>
      <c r="AC78" s="111"/>
      <c r="AD78" s="111"/>
      <c r="AE78" s="560">
        <f>AE75+AE77</f>
        <v>0</v>
      </c>
      <c r="AF78" s="561"/>
      <c r="AG78" s="561"/>
      <c r="AH78" s="561"/>
      <c r="AI78" s="562"/>
    </row>
    <row r="79" spans="3:35" ht="15.6" customHeight="1">
      <c r="C79" s="151"/>
      <c r="X79" s="148"/>
      <c r="Y79" s="519" t="s">
        <v>110</v>
      </c>
      <c r="Z79" s="520"/>
      <c r="AA79" s="416"/>
      <c r="AB79" s="415"/>
      <c r="AC79" s="415"/>
      <c r="AD79" s="274"/>
      <c r="AE79" s="322" t="s">
        <v>690</v>
      </c>
      <c r="AF79" s="319"/>
      <c r="AG79" s="319"/>
      <c r="AH79" s="319"/>
      <c r="AI79" s="320"/>
    </row>
    <row r="80" spans="3:35" ht="15.6" customHeight="1">
      <c r="C80" s="151"/>
      <c r="X80" s="148"/>
      <c r="Y80" s="417"/>
      <c r="Z80" s="415"/>
      <c r="AA80" s="415"/>
      <c r="AB80" s="415"/>
      <c r="AC80" s="415"/>
      <c r="AD80" s="63"/>
      <c r="AE80" s="323" t="s">
        <v>640</v>
      </c>
      <c r="AF80" s="321"/>
      <c r="AG80" s="541"/>
      <c r="AH80" s="542"/>
      <c r="AI80" s="543"/>
    </row>
    <row r="81" spans="2:38" ht="15.6" customHeight="1">
      <c r="C81" s="151"/>
      <c r="X81" s="148"/>
      <c r="Y81" s="417"/>
      <c r="Z81" s="415"/>
      <c r="AA81" s="415"/>
      <c r="AB81" s="415"/>
      <c r="AC81" s="415"/>
      <c r="AD81" s="63"/>
      <c r="AE81" s="323" t="s">
        <v>64</v>
      </c>
      <c r="AF81" s="321"/>
      <c r="AG81" s="541" t="s">
        <v>65</v>
      </c>
      <c r="AH81" s="542"/>
      <c r="AI81" s="543"/>
      <c r="AJ81" s="88"/>
      <c r="AL81" s="88"/>
    </row>
    <row r="82" spans="2:38" ht="15.6" customHeight="1">
      <c r="C82" s="151"/>
      <c r="X82" s="148"/>
      <c r="Y82" s="417"/>
      <c r="Z82" s="415"/>
      <c r="AA82" s="415"/>
      <c r="AB82" s="415"/>
      <c r="AC82" s="415"/>
      <c r="AD82" s="63"/>
      <c r="AE82" s="323" t="s">
        <v>68</v>
      </c>
      <c r="AF82" s="321"/>
      <c r="AG82" s="541" t="s">
        <v>71</v>
      </c>
      <c r="AH82" s="542"/>
      <c r="AI82" s="543"/>
      <c r="AK82" s="88"/>
    </row>
    <row r="83" spans="2:38" ht="15.6" customHeight="1">
      <c r="C83" s="151"/>
      <c r="X83" s="148"/>
      <c r="Y83" s="417"/>
      <c r="Z83" s="418"/>
      <c r="AA83" s="416"/>
      <c r="AB83" s="415"/>
      <c r="AC83" s="415"/>
      <c r="AD83" s="63"/>
      <c r="AE83" s="105"/>
      <c r="AH83" s="281"/>
      <c r="AI83" s="282"/>
    </row>
    <row r="84" spans="2:38" ht="15.6" customHeight="1">
      <c r="C84" s="151"/>
      <c r="D84" s="410" t="s">
        <v>754</v>
      </c>
      <c r="X84" s="148"/>
      <c r="Y84" s="419"/>
      <c r="Z84" s="552"/>
      <c r="AA84" s="552"/>
      <c r="AB84" s="416"/>
      <c r="AC84" s="416"/>
      <c r="AD84" s="415"/>
      <c r="AE84" s="324"/>
      <c r="AF84" s="552"/>
      <c r="AG84" s="552"/>
      <c r="AH84" s="552"/>
      <c r="AI84" s="553"/>
    </row>
    <row r="85" spans="2:38" ht="15.6" customHeight="1" thickBot="1">
      <c r="C85" s="272"/>
      <c r="D85" s="111"/>
      <c r="E85" s="111"/>
      <c r="F85" s="111"/>
      <c r="G85" s="111"/>
      <c r="H85" s="111"/>
      <c r="I85" s="111"/>
      <c r="J85" s="111"/>
      <c r="K85" s="111"/>
      <c r="L85" s="111"/>
      <c r="M85" s="111"/>
      <c r="N85" s="111"/>
      <c r="O85" s="111"/>
      <c r="P85" s="111"/>
      <c r="Q85" s="111"/>
      <c r="R85" s="111"/>
      <c r="S85" s="111"/>
      <c r="T85" s="111"/>
      <c r="U85" s="111"/>
      <c r="V85" s="111"/>
      <c r="W85" s="111"/>
      <c r="X85" s="150"/>
      <c r="Y85" s="318"/>
      <c r="Z85" s="283"/>
      <c r="AA85" s="283"/>
      <c r="AB85" s="283"/>
      <c r="AC85" s="283"/>
      <c r="AD85" s="283"/>
      <c r="AE85" s="318"/>
      <c r="AF85" s="283"/>
      <c r="AG85" s="283"/>
      <c r="AH85" s="283"/>
      <c r="AI85" s="150"/>
    </row>
    <row r="86" spans="2:38">
      <c r="C86" s="273"/>
      <c r="D86" s="119"/>
      <c r="E86" s="119"/>
      <c r="F86" s="54" t="s">
        <v>112</v>
      </c>
      <c r="G86" s="119"/>
      <c r="H86" s="119"/>
      <c r="I86" s="119"/>
      <c r="J86" s="119"/>
      <c r="K86" s="119"/>
      <c r="L86" s="119"/>
      <c r="M86" s="119"/>
      <c r="N86" s="119"/>
      <c r="O86" s="119"/>
      <c r="P86" s="119"/>
      <c r="Q86" s="119"/>
      <c r="R86" s="119"/>
      <c r="S86" s="119"/>
      <c r="T86" s="119"/>
      <c r="U86" s="119"/>
      <c r="V86" s="119"/>
      <c r="W86" s="119"/>
      <c r="X86" s="270"/>
      <c r="Y86" s="119"/>
      <c r="Z86" s="274"/>
      <c r="AA86" s="274"/>
      <c r="AB86" s="274"/>
      <c r="AC86" s="274"/>
      <c r="AD86" s="274"/>
      <c r="AE86" s="274"/>
      <c r="AF86" s="274"/>
      <c r="AG86" s="274"/>
      <c r="AH86" s="274"/>
      <c r="AI86" s="316"/>
      <c r="AJ86" s="63"/>
      <c r="AL86" s="63"/>
    </row>
    <row r="87" spans="2:38">
      <c r="C87" s="275"/>
      <c r="D87" s="85"/>
      <c r="E87" s="85"/>
      <c r="F87" s="85"/>
      <c r="G87" s="85"/>
      <c r="H87" s="85"/>
      <c r="I87" s="85"/>
      <c r="J87" s="85"/>
      <c r="K87" s="85"/>
      <c r="L87" s="85"/>
      <c r="M87" s="85"/>
      <c r="N87" s="85"/>
      <c r="O87" s="85"/>
      <c r="P87" s="85"/>
      <c r="Q87" s="85"/>
      <c r="R87" s="85"/>
      <c r="S87" s="85"/>
      <c r="T87" s="85"/>
      <c r="U87" s="85"/>
      <c r="V87" s="85"/>
      <c r="W87" s="85"/>
      <c r="X87" s="145"/>
      <c r="Z87" s="63"/>
      <c r="AA87" s="63"/>
      <c r="AB87" s="63"/>
      <c r="AC87" s="63"/>
      <c r="AD87" s="63"/>
      <c r="AE87" s="63"/>
      <c r="AF87" s="63"/>
      <c r="AG87" s="63"/>
      <c r="AH87" s="63"/>
      <c r="AI87" s="63"/>
      <c r="AJ87" s="63"/>
      <c r="AK87" s="63"/>
      <c r="AL87" s="63"/>
    </row>
    <row r="88" spans="2:38">
      <c r="C88" s="275"/>
      <c r="D88" s="85"/>
      <c r="E88" s="85"/>
      <c r="F88" s="85"/>
      <c r="G88" s="85"/>
      <c r="H88" s="85"/>
      <c r="I88" s="85"/>
      <c r="J88" s="85"/>
      <c r="K88" s="85"/>
      <c r="L88" s="85"/>
      <c r="M88" s="85"/>
      <c r="N88" s="85"/>
      <c r="O88" s="85"/>
      <c r="P88" s="85"/>
      <c r="Q88" s="85"/>
      <c r="R88" s="85"/>
      <c r="S88" s="85"/>
      <c r="T88" s="85"/>
      <c r="U88" s="85"/>
      <c r="V88" s="85"/>
      <c r="W88" s="85"/>
      <c r="X88" s="145"/>
      <c r="Z88" s="63"/>
      <c r="AA88" s="63"/>
      <c r="AB88" s="63"/>
      <c r="AC88" s="63"/>
      <c r="AD88" s="63"/>
      <c r="AE88" s="63"/>
      <c r="AF88" s="63"/>
      <c r="AG88" s="63"/>
      <c r="AH88" s="63"/>
      <c r="AI88" s="63"/>
      <c r="AJ88" s="63"/>
      <c r="AK88" s="63"/>
      <c r="AL88" s="63"/>
    </row>
    <row r="89" spans="2:38">
      <c r="C89" s="275"/>
      <c r="D89" s="85"/>
      <c r="E89" s="85"/>
      <c r="F89" s="85"/>
      <c r="G89" s="85"/>
      <c r="H89" s="85"/>
      <c r="I89" s="85"/>
      <c r="J89" s="85"/>
      <c r="K89" s="85"/>
      <c r="L89" s="85"/>
      <c r="M89" s="85"/>
      <c r="N89" s="85"/>
      <c r="O89" s="85"/>
      <c r="P89" s="85"/>
      <c r="Q89" s="85"/>
      <c r="R89" s="85"/>
      <c r="S89" s="85"/>
      <c r="T89" s="85"/>
      <c r="U89" s="85"/>
      <c r="V89" s="85"/>
      <c r="W89" s="85"/>
      <c r="X89" s="145"/>
      <c r="Z89" s="63"/>
      <c r="AA89" s="63"/>
      <c r="AB89" s="63"/>
      <c r="AC89" s="63"/>
      <c r="AD89" s="63"/>
      <c r="AE89" s="63"/>
      <c r="AF89" s="317"/>
      <c r="AG89" s="317"/>
      <c r="AH89" s="317"/>
      <c r="AI89" s="317"/>
      <c r="AJ89" s="317"/>
      <c r="AK89" s="63"/>
      <c r="AL89" s="63"/>
    </row>
    <row r="90" spans="2:38">
      <c r="C90" s="145"/>
      <c r="D90" s="85"/>
      <c r="E90" s="85"/>
      <c r="F90" s="85"/>
      <c r="G90" s="85"/>
      <c r="H90" s="85"/>
      <c r="I90" s="85"/>
      <c r="J90" s="85"/>
      <c r="K90" s="85"/>
      <c r="L90" s="85"/>
      <c r="M90" s="85"/>
      <c r="N90" s="85"/>
      <c r="O90" s="85"/>
      <c r="P90" s="85"/>
      <c r="Q90" s="85"/>
      <c r="R90" s="85"/>
      <c r="S90" s="85"/>
      <c r="T90" s="85"/>
      <c r="U90" s="85"/>
      <c r="V90" s="85"/>
      <c r="W90" s="85"/>
      <c r="X90" s="145"/>
      <c r="Z90" s="63"/>
      <c r="AA90" s="63"/>
      <c r="AB90" s="63"/>
      <c r="AC90" s="63"/>
      <c r="AD90" s="63"/>
      <c r="AE90" s="63"/>
      <c r="AF90" s="317"/>
      <c r="AG90" s="317"/>
      <c r="AH90" s="317"/>
      <c r="AI90" s="317"/>
      <c r="AJ90" s="317"/>
      <c r="AK90" s="63"/>
      <c r="AL90" s="63"/>
    </row>
    <row r="91" spans="2:38">
      <c r="C91" s="145"/>
      <c r="D91" s="85"/>
      <c r="E91" s="85"/>
      <c r="F91" s="85"/>
      <c r="G91" s="85"/>
      <c r="H91" s="85"/>
      <c r="I91" s="85"/>
      <c r="J91" s="85"/>
      <c r="K91" s="85"/>
      <c r="L91" s="85"/>
      <c r="M91" s="85"/>
      <c r="N91" s="85"/>
      <c r="O91" s="85"/>
      <c r="P91" s="85"/>
      <c r="Q91" s="85"/>
      <c r="R91" s="85"/>
      <c r="S91" s="85"/>
      <c r="T91" s="85"/>
      <c r="U91" s="85"/>
      <c r="V91" s="85"/>
      <c r="W91" s="85"/>
      <c r="X91" s="145"/>
      <c r="Y91" s="85"/>
      <c r="Z91" s="63"/>
      <c r="AA91" s="63"/>
      <c r="AB91" s="63"/>
      <c r="AC91" s="63"/>
      <c r="AD91" s="63"/>
      <c r="AE91" s="63"/>
      <c r="AF91" s="63"/>
      <c r="AG91" s="63"/>
      <c r="AH91" s="63"/>
      <c r="AI91" s="63"/>
      <c r="AJ91" s="63"/>
      <c r="AK91" s="63"/>
      <c r="AL91" s="63"/>
    </row>
    <row r="92" spans="2:38">
      <c r="C92" s="145"/>
      <c r="D92" s="145"/>
      <c r="E92" s="145"/>
      <c r="F92" s="145"/>
      <c r="G92" s="145"/>
      <c r="H92" s="145"/>
      <c r="I92" s="145"/>
      <c r="J92" s="145"/>
      <c r="K92" s="145"/>
      <c r="L92" s="145"/>
      <c r="M92" s="145"/>
      <c r="N92" s="145"/>
      <c r="O92" s="145"/>
      <c r="P92" s="145"/>
      <c r="Q92" s="145"/>
      <c r="R92" s="145"/>
      <c r="S92" s="145"/>
      <c r="T92" s="145"/>
      <c r="U92" s="145"/>
      <c r="V92" s="145"/>
      <c r="W92" s="145"/>
      <c r="X92" s="145"/>
      <c r="Y92" s="85"/>
      <c r="Z92" s="85"/>
      <c r="AA92" s="85"/>
      <c r="AB92" s="85"/>
      <c r="AC92" s="85"/>
      <c r="AD92" s="85"/>
      <c r="AE92" s="85"/>
      <c r="AF92" s="85"/>
      <c r="AG92" s="85"/>
      <c r="AH92" s="85"/>
      <c r="AI92" s="85"/>
      <c r="AK92" s="63"/>
    </row>
    <row r="93" spans="2:38">
      <c r="B93" s="88"/>
      <c r="C93" s="411"/>
      <c r="D93" s="88"/>
      <c r="E93" s="88"/>
      <c r="F93" s="88"/>
      <c r="G93" s="88"/>
      <c r="H93" s="88"/>
      <c r="I93" s="88"/>
      <c r="J93" s="88"/>
      <c r="K93" s="88"/>
      <c r="L93" s="88"/>
      <c r="M93" s="88"/>
      <c r="N93" s="88"/>
      <c r="O93" s="88"/>
      <c r="P93" s="88"/>
      <c r="Q93" s="88"/>
      <c r="R93" s="88"/>
      <c r="S93" s="88"/>
      <c r="T93" s="88"/>
      <c r="U93" s="88"/>
      <c r="V93" s="88"/>
      <c r="W93" s="88"/>
      <c r="X93" s="88"/>
      <c r="Y93" s="88"/>
      <c r="Z93" s="88"/>
      <c r="AI93" s="107"/>
    </row>
    <row r="94" spans="2:38">
      <c r="B94" s="88"/>
      <c r="C94" s="88"/>
      <c r="D94" s="88"/>
      <c r="E94" s="88"/>
      <c r="F94" s="88"/>
      <c r="G94" s="88"/>
      <c r="H94" s="88"/>
      <c r="I94" s="88"/>
      <c r="J94" s="88"/>
      <c r="K94" s="88"/>
      <c r="L94" s="88"/>
      <c r="M94" s="88"/>
      <c r="N94" s="88"/>
      <c r="O94" s="88"/>
      <c r="P94" s="88"/>
      <c r="Q94" s="88"/>
      <c r="R94" s="88"/>
      <c r="S94" s="88"/>
      <c r="T94" s="88"/>
      <c r="U94" s="88"/>
      <c r="V94" s="88"/>
      <c r="W94" s="88"/>
      <c r="X94" s="88"/>
      <c r="Y94" s="88"/>
      <c r="Z94" s="88"/>
    </row>
    <row r="95" spans="2:38">
      <c r="B95" s="88"/>
      <c r="C95" s="88"/>
      <c r="D95" s="88"/>
      <c r="E95" s="88"/>
      <c r="F95" s="88"/>
      <c r="G95" s="88"/>
      <c r="H95" s="88"/>
      <c r="I95" s="88"/>
      <c r="J95" s="88"/>
      <c r="K95" s="88"/>
      <c r="L95" s="88"/>
      <c r="M95" s="88"/>
      <c r="N95" s="88"/>
      <c r="O95" s="88"/>
      <c r="P95" s="88"/>
      <c r="Q95" s="88"/>
      <c r="R95" s="88"/>
      <c r="S95" s="88"/>
      <c r="T95" s="88"/>
      <c r="U95" s="88"/>
      <c r="V95" s="88"/>
      <c r="W95" s="88"/>
      <c r="X95" s="88"/>
      <c r="Y95" s="88"/>
      <c r="Z95" s="88"/>
    </row>
    <row r="96" spans="2:38" ht="15.75" customHeight="1">
      <c r="B96" s="88"/>
      <c r="C96" s="412" t="s">
        <v>593</v>
      </c>
      <c r="D96" s="413"/>
      <c r="E96" s="130"/>
      <c r="F96" s="130"/>
      <c r="G96" s="130"/>
      <c r="H96" s="130"/>
      <c r="I96" s="130"/>
      <c r="J96" s="130"/>
      <c r="K96" s="130"/>
      <c r="L96" s="130"/>
      <c r="M96" s="130"/>
      <c r="N96" s="130"/>
      <c r="O96" s="130"/>
      <c r="P96" s="130"/>
      <c r="Q96" s="88"/>
      <c r="R96" s="88"/>
      <c r="S96" s="88"/>
      <c r="T96" s="88"/>
      <c r="U96" s="88"/>
      <c r="V96" s="88"/>
      <c r="W96" s="88"/>
      <c r="X96" s="88"/>
      <c r="Y96" s="88"/>
      <c r="Z96" s="88"/>
    </row>
    <row r="97" spans="2:45" ht="15.75" customHeight="1">
      <c r="B97" s="88"/>
      <c r="C97" s="513" t="s">
        <v>188</v>
      </c>
      <c r="D97" s="511"/>
      <c r="E97" s="511"/>
      <c r="F97" s="511"/>
      <c r="G97" s="511"/>
      <c r="H97" s="512"/>
      <c r="I97" s="513" t="s">
        <v>189</v>
      </c>
      <c r="J97" s="511"/>
      <c r="K97" s="511"/>
      <c r="L97" s="511"/>
      <c r="M97" s="511"/>
      <c r="N97" s="511"/>
      <c r="O97" s="511"/>
      <c r="P97" s="511"/>
      <c r="Q97" s="511"/>
      <c r="R97" s="511"/>
      <c r="S97" s="511"/>
      <c r="T97" s="511"/>
      <c r="U97" s="511"/>
      <c r="V97" s="511"/>
      <c r="W97" s="511"/>
      <c r="X97" s="512"/>
      <c r="Y97" s="88"/>
      <c r="Z97" s="88"/>
    </row>
    <row r="98" spans="2:45" ht="15.75" customHeight="1">
      <c r="B98" s="88"/>
      <c r="C98" s="510" t="s">
        <v>190</v>
      </c>
      <c r="D98" s="511"/>
      <c r="E98" s="511"/>
      <c r="F98" s="511"/>
      <c r="G98" s="511"/>
      <c r="H98" s="512"/>
      <c r="I98" s="554"/>
      <c r="J98" s="555"/>
      <c r="K98" s="555"/>
      <c r="L98" s="555"/>
      <c r="M98" s="555"/>
      <c r="N98" s="555"/>
      <c r="O98" s="555"/>
      <c r="P98" s="555"/>
      <c r="Q98" s="555"/>
      <c r="R98" s="555"/>
      <c r="S98" s="555"/>
      <c r="T98" s="555"/>
      <c r="U98" s="555"/>
      <c r="V98" s="555"/>
      <c r="W98" s="555"/>
      <c r="X98" s="556"/>
      <c r="Y98" s="88"/>
      <c r="Z98" s="88"/>
      <c r="AD98" s="131"/>
      <c r="AF98" s="551"/>
      <c r="AG98" s="551"/>
      <c r="AQ98" s="253" t="s">
        <v>201</v>
      </c>
      <c r="AR98" s="254" t="s">
        <v>202</v>
      </c>
      <c r="AS98" s="254" t="s">
        <v>203</v>
      </c>
    </row>
    <row r="99" spans="2:45" ht="15.75" customHeight="1">
      <c r="B99" s="88"/>
      <c r="C99" s="510" t="s">
        <v>191</v>
      </c>
      <c r="D99" s="511"/>
      <c r="E99" s="511"/>
      <c r="F99" s="511"/>
      <c r="G99" s="511"/>
      <c r="H99" s="512"/>
      <c r="I99" s="514" t="s">
        <v>607</v>
      </c>
      <c r="J99" s="515"/>
      <c r="K99" s="515"/>
      <c r="L99" s="515"/>
      <c r="M99" s="515"/>
      <c r="N99" s="515"/>
      <c r="O99" s="515"/>
      <c r="P99" s="515"/>
      <c r="Q99" s="515"/>
      <c r="R99" s="515"/>
      <c r="S99" s="515"/>
      <c r="T99" s="493"/>
      <c r="U99" s="493"/>
      <c r="V99" s="493"/>
      <c r="W99" s="493"/>
      <c r="X99" s="494"/>
      <c r="Y99" s="88"/>
      <c r="Z99" s="414" t="s">
        <v>594</v>
      </c>
      <c r="AQ99" s="253" t="s">
        <v>204</v>
      </c>
      <c r="AR99" s="254" t="s">
        <v>205</v>
      </c>
      <c r="AS99" s="254" t="s">
        <v>206</v>
      </c>
    </row>
    <row r="100" spans="2:45" ht="15.75" customHeight="1">
      <c r="B100" s="88"/>
      <c r="C100" s="510" t="s">
        <v>192</v>
      </c>
      <c r="D100" s="511"/>
      <c r="E100" s="511"/>
      <c r="F100" s="511"/>
      <c r="G100" s="511"/>
      <c r="H100" s="512"/>
      <c r="I100" s="524"/>
      <c r="J100" s="515"/>
      <c r="K100" s="515"/>
      <c r="L100" s="515"/>
      <c r="M100" s="515"/>
      <c r="N100" s="515"/>
      <c r="O100" s="515"/>
      <c r="P100" s="515"/>
      <c r="Q100" s="515"/>
      <c r="R100" s="515"/>
      <c r="S100" s="515"/>
      <c r="T100" s="515"/>
      <c r="U100" s="515"/>
      <c r="V100" s="515"/>
      <c r="W100" s="515"/>
      <c r="X100" s="525"/>
      <c r="Y100" s="88"/>
      <c r="Z100" s="414" t="s">
        <v>595</v>
      </c>
      <c r="AQ100" s="254" t="s">
        <v>207</v>
      </c>
      <c r="AR100" s="254"/>
      <c r="AS100" s="254"/>
    </row>
    <row r="101" spans="2:45" ht="15.75" customHeight="1">
      <c r="B101" s="88"/>
      <c r="C101" s="510" t="s">
        <v>193</v>
      </c>
      <c r="D101" s="511"/>
      <c r="E101" s="511"/>
      <c r="F101" s="511"/>
      <c r="G101" s="511"/>
      <c r="H101" s="512"/>
      <c r="I101" s="492" t="s">
        <v>421</v>
      </c>
      <c r="J101" s="493"/>
      <c r="K101" s="493"/>
      <c r="L101" s="493"/>
      <c r="M101" s="493"/>
      <c r="N101" s="493"/>
      <c r="O101" s="493"/>
      <c r="P101" s="493"/>
      <c r="Q101" s="493"/>
      <c r="R101" s="493"/>
      <c r="S101" s="493"/>
      <c r="T101" s="493"/>
      <c r="U101" s="493"/>
      <c r="V101" s="493"/>
      <c r="W101" s="493"/>
      <c r="X101" s="494"/>
      <c r="Y101" s="88"/>
      <c r="Z101" s="414" t="s">
        <v>596</v>
      </c>
      <c r="AQ101" s="254" t="s">
        <v>208</v>
      </c>
      <c r="AR101" s="254"/>
      <c r="AS101" s="254"/>
    </row>
    <row r="102" spans="2:45" ht="15.75" customHeight="1">
      <c r="B102" s="88"/>
      <c r="C102" s="510" t="s">
        <v>194</v>
      </c>
      <c r="D102" s="511"/>
      <c r="E102" s="511"/>
      <c r="F102" s="511"/>
      <c r="G102" s="511"/>
      <c r="H102" s="512"/>
      <c r="I102" s="492" t="s">
        <v>696</v>
      </c>
      <c r="J102" s="493"/>
      <c r="K102" s="493"/>
      <c r="L102" s="493"/>
      <c r="M102" s="493"/>
      <c r="N102" s="493"/>
      <c r="O102" s="493"/>
      <c r="P102" s="493"/>
      <c r="Q102" s="493"/>
      <c r="R102" s="493"/>
      <c r="S102" s="493"/>
      <c r="T102" s="493"/>
      <c r="U102" s="493"/>
      <c r="V102" s="493"/>
      <c r="W102" s="493"/>
      <c r="X102" s="494"/>
      <c r="Y102" s="88"/>
      <c r="Z102" s="414" t="s">
        <v>597</v>
      </c>
      <c r="AQ102" s="254" t="s">
        <v>209</v>
      </c>
      <c r="AR102" s="254"/>
      <c r="AS102" s="254"/>
    </row>
    <row r="103" spans="2:45" ht="15.75" customHeight="1">
      <c r="B103" s="88"/>
      <c r="C103" s="510" t="s">
        <v>195</v>
      </c>
      <c r="D103" s="511"/>
      <c r="E103" s="511"/>
      <c r="F103" s="511"/>
      <c r="G103" s="511"/>
      <c r="H103" s="512"/>
      <c r="I103" s="492"/>
      <c r="J103" s="493"/>
      <c r="K103" s="493"/>
      <c r="L103" s="493"/>
      <c r="M103" s="493"/>
      <c r="N103" s="493"/>
      <c r="O103" s="493"/>
      <c r="P103" s="493"/>
      <c r="Q103" s="493"/>
      <c r="R103" s="493"/>
      <c r="S103" s="493"/>
      <c r="T103" s="493"/>
      <c r="U103" s="493"/>
      <c r="V103" s="493"/>
      <c r="W103" s="493"/>
      <c r="X103" s="494"/>
      <c r="Y103" s="88"/>
      <c r="Z103" s="414" t="s">
        <v>598</v>
      </c>
      <c r="AQ103" s="254" t="s">
        <v>210</v>
      </c>
      <c r="AR103" s="254"/>
      <c r="AS103" s="254"/>
    </row>
    <row r="104" spans="2:45" ht="15.75" customHeight="1">
      <c r="B104" s="88"/>
      <c r="C104" s="510" t="s">
        <v>196</v>
      </c>
      <c r="D104" s="511"/>
      <c r="E104" s="511"/>
      <c r="F104" s="511"/>
      <c r="G104" s="511"/>
      <c r="H104" s="512"/>
      <c r="I104" s="526" t="s">
        <v>420</v>
      </c>
      <c r="J104" s="493"/>
      <c r="K104" s="493"/>
      <c r="L104" s="493"/>
      <c r="M104" s="493"/>
      <c r="N104" s="493"/>
      <c r="O104" s="493"/>
      <c r="P104" s="493"/>
      <c r="Q104" s="493"/>
      <c r="R104" s="493"/>
      <c r="S104" s="493"/>
      <c r="T104" s="493"/>
      <c r="U104" s="493"/>
      <c r="V104" s="493"/>
      <c r="W104" s="493"/>
      <c r="X104" s="494"/>
      <c r="Y104" s="88"/>
      <c r="Z104" s="414" t="s">
        <v>599</v>
      </c>
    </row>
    <row r="105" spans="2:45" ht="15.75" customHeight="1">
      <c r="B105" s="88"/>
      <c r="C105" s="510" t="s">
        <v>197</v>
      </c>
      <c r="D105" s="511"/>
      <c r="E105" s="511"/>
      <c r="F105" s="511"/>
      <c r="G105" s="511"/>
      <c r="H105" s="512"/>
      <c r="I105" s="526" t="s">
        <v>420</v>
      </c>
      <c r="J105" s="493"/>
      <c r="K105" s="493"/>
      <c r="L105" s="493"/>
      <c r="M105" s="493"/>
      <c r="N105" s="493"/>
      <c r="O105" s="493"/>
      <c r="P105" s="493"/>
      <c r="Q105" s="493"/>
      <c r="R105" s="493"/>
      <c r="S105" s="493"/>
      <c r="T105" s="493"/>
      <c r="U105" s="493"/>
      <c r="V105" s="493"/>
      <c r="W105" s="493"/>
      <c r="X105" s="494"/>
      <c r="Y105" s="88"/>
      <c r="Z105" s="414" t="s">
        <v>600</v>
      </c>
    </row>
    <row r="106" spans="2:45" ht="15.75" customHeight="1">
      <c r="B106" s="88"/>
      <c r="C106" s="510" t="s">
        <v>198</v>
      </c>
      <c r="D106" s="511"/>
      <c r="E106" s="511"/>
      <c r="F106" s="511"/>
      <c r="G106" s="511"/>
      <c r="H106" s="512"/>
      <c r="I106" s="526" t="s">
        <v>420</v>
      </c>
      <c r="J106" s="493"/>
      <c r="K106" s="493"/>
      <c r="L106" s="493"/>
      <c r="M106" s="493"/>
      <c r="N106" s="493"/>
      <c r="O106" s="493"/>
      <c r="P106" s="493"/>
      <c r="Q106" s="493"/>
      <c r="R106" s="493"/>
      <c r="S106" s="493"/>
      <c r="T106" s="493"/>
      <c r="U106" s="493"/>
      <c r="V106" s="493"/>
      <c r="W106" s="493"/>
      <c r="X106" s="494"/>
      <c r="Y106" s="88"/>
      <c r="Z106" s="231" t="s">
        <v>601</v>
      </c>
    </row>
    <row r="107" spans="2:45" ht="15.75" customHeight="1">
      <c r="B107" s="88"/>
      <c r="C107" s="510" t="s">
        <v>199</v>
      </c>
      <c r="D107" s="511"/>
      <c r="E107" s="511"/>
      <c r="F107" s="511"/>
      <c r="G107" s="511"/>
      <c r="H107" s="512"/>
      <c r="I107" s="526" t="s">
        <v>420</v>
      </c>
      <c r="J107" s="493"/>
      <c r="K107" s="493"/>
      <c r="L107" s="493"/>
      <c r="M107" s="493"/>
      <c r="N107" s="493"/>
      <c r="O107" s="493"/>
      <c r="P107" s="493"/>
      <c r="Q107" s="493"/>
      <c r="R107" s="493"/>
      <c r="S107" s="493"/>
      <c r="T107" s="493"/>
      <c r="U107" s="493"/>
      <c r="V107" s="493"/>
      <c r="W107" s="493"/>
      <c r="X107" s="494"/>
      <c r="Y107" s="88"/>
      <c r="Z107" s="231" t="s">
        <v>602</v>
      </c>
    </row>
    <row r="108" spans="2:45" ht="15.75" customHeight="1">
      <c r="B108" s="88"/>
      <c r="C108" s="530" t="s">
        <v>200</v>
      </c>
      <c r="D108" s="531"/>
      <c r="E108" s="531"/>
      <c r="F108" s="531"/>
      <c r="G108" s="531"/>
      <c r="H108" s="532"/>
      <c r="I108" s="539"/>
      <c r="J108" s="493"/>
      <c r="K108" s="493"/>
      <c r="L108" s="493"/>
      <c r="M108" s="493"/>
      <c r="N108" s="493"/>
      <c r="O108" s="493"/>
      <c r="P108" s="493"/>
      <c r="Q108" s="493"/>
      <c r="R108" s="493"/>
      <c r="S108" s="493"/>
      <c r="T108" s="493"/>
      <c r="U108" s="493"/>
      <c r="V108" s="493"/>
      <c r="W108" s="493"/>
      <c r="X108" s="494"/>
      <c r="Y108" s="88"/>
      <c r="Z108" s="231" t="s">
        <v>603</v>
      </c>
    </row>
    <row r="109" spans="2:45" ht="15.75" customHeight="1">
      <c r="B109" s="88"/>
      <c r="C109" s="533"/>
      <c r="D109" s="534"/>
      <c r="E109" s="534"/>
      <c r="F109" s="534"/>
      <c r="G109" s="534"/>
      <c r="H109" s="535"/>
      <c r="I109" s="526"/>
      <c r="J109" s="493"/>
      <c r="K109" s="493"/>
      <c r="L109" s="493"/>
      <c r="M109" s="493"/>
      <c r="N109" s="493"/>
      <c r="O109" s="493"/>
      <c r="P109" s="493"/>
      <c r="Q109" s="493"/>
      <c r="R109" s="493"/>
      <c r="S109" s="493"/>
      <c r="T109" s="493"/>
      <c r="U109" s="493"/>
      <c r="V109" s="493"/>
      <c r="W109" s="493"/>
      <c r="X109" s="494"/>
      <c r="Y109" s="88"/>
      <c r="Z109" s="231" t="s">
        <v>604</v>
      </c>
    </row>
    <row r="110" spans="2:45" ht="15.75" customHeight="1">
      <c r="B110" s="88"/>
      <c r="C110" s="533"/>
      <c r="D110" s="534"/>
      <c r="E110" s="534"/>
      <c r="F110" s="534"/>
      <c r="G110" s="534"/>
      <c r="H110" s="535"/>
      <c r="I110" s="526"/>
      <c r="J110" s="493"/>
      <c r="K110" s="493"/>
      <c r="L110" s="493"/>
      <c r="M110" s="493"/>
      <c r="N110" s="493"/>
      <c r="O110" s="493"/>
      <c r="P110" s="493"/>
      <c r="Q110" s="493"/>
      <c r="R110" s="493"/>
      <c r="S110" s="493"/>
      <c r="T110" s="493"/>
      <c r="U110" s="493"/>
      <c r="V110" s="493"/>
      <c r="W110" s="493"/>
      <c r="X110" s="494"/>
      <c r="Y110" s="88"/>
      <c r="Z110" s="231" t="s">
        <v>605</v>
      </c>
    </row>
    <row r="111" spans="2:45" ht="15.75" customHeight="1">
      <c r="B111" s="88"/>
      <c r="C111" s="536"/>
      <c r="D111" s="537"/>
      <c r="E111" s="537"/>
      <c r="F111" s="537"/>
      <c r="G111" s="537"/>
      <c r="H111" s="538"/>
      <c r="I111" s="526"/>
      <c r="J111" s="493"/>
      <c r="K111" s="493"/>
      <c r="L111" s="493"/>
      <c r="M111" s="493"/>
      <c r="N111" s="493"/>
      <c r="O111" s="493"/>
      <c r="P111" s="493"/>
      <c r="Q111" s="493"/>
      <c r="R111" s="493"/>
      <c r="S111" s="493"/>
      <c r="T111" s="493"/>
      <c r="U111" s="493"/>
      <c r="V111" s="493"/>
      <c r="W111" s="493"/>
      <c r="X111" s="494"/>
      <c r="Y111" s="88"/>
      <c r="Z111" s="231" t="s">
        <v>606</v>
      </c>
      <c r="AR111" s="82" t="s">
        <v>702</v>
      </c>
      <c r="AS111" s="82" t="s">
        <v>703</v>
      </c>
    </row>
    <row r="112" spans="2:45" ht="15.75" customHeight="1">
      <c r="B112" s="88"/>
      <c r="C112" s="521" t="s">
        <v>233</v>
      </c>
      <c r="D112" s="522"/>
      <c r="E112" s="522"/>
      <c r="F112" s="522"/>
      <c r="G112" s="522"/>
      <c r="H112" s="523"/>
      <c r="I112" s="527">
        <f>改め発注金額</f>
        <v>0</v>
      </c>
      <c r="J112" s="528"/>
      <c r="K112" s="528"/>
      <c r="L112" s="528"/>
      <c r="M112" s="528"/>
      <c r="N112" s="528"/>
      <c r="O112" s="528"/>
      <c r="P112" s="528"/>
      <c r="Q112" s="528"/>
      <c r="R112" s="528"/>
      <c r="S112" s="528"/>
      <c r="T112" s="528"/>
      <c r="U112" s="528"/>
      <c r="V112" s="528"/>
      <c r="W112" s="528"/>
      <c r="X112" s="529"/>
      <c r="Y112" s="88"/>
      <c r="Z112" s="231" t="s">
        <v>607</v>
      </c>
      <c r="AQ112" s="139">
        <v>1</v>
      </c>
      <c r="AR112" s="397">
        <v>0.08</v>
      </c>
      <c r="AS112" s="399" t="s">
        <v>704</v>
      </c>
    </row>
    <row r="113" spans="2:45" ht="17.25">
      <c r="B113" s="88"/>
      <c r="C113" s="413"/>
      <c r="D113" s="88"/>
      <c r="E113" s="88"/>
      <c r="F113" s="88"/>
      <c r="G113" s="130"/>
      <c r="H113" s="130"/>
      <c r="I113" s="130"/>
      <c r="J113" s="130"/>
      <c r="K113" s="130"/>
      <c r="L113" s="130"/>
      <c r="M113" s="130"/>
      <c r="N113" s="130"/>
      <c r="O113" s="130"/>
      <c r="P113" s="130"/>
      <c r="Q113" s="88"/>
      <c r="R113" s="88"/>
      <c r="S113" s="88"/>
      <c r="T113" s="88"/>
      <c r="U113" s="88"/>
      <c r="V113" s="88"/>
      <c r="W113" s="88"/>
      <c r="X113" s="88"/>
      <c r="Y113" s="88"/>
      <c r="Z113" s="231" t="s">
        <v>608</v>
      </c>
      <c r="AQ113" s="398"/>
      <c r="AR113" s="397">
        <v>0.05</v>
      </c>
      <c r="AS113" s="399" t="s">
        <v>705</v>
      </c>
    </row>
    <row r="114" spans="2:45" ht="17.25">
      <c r="B114" s="88"/>
      <c r="C114" s="413"/>
      <c r="D114" s="88"/>
      <c r="E114" s="88"/>
      <c r="F114" s="88"/>
      <c r="G114" s="130"/>
      <c r="H114" s="130"/>
      <c r="I114" s="130"/>
      <c r="J114" s="130"/>
      <c r="K114" s="130"/>
      <c r="L114" s="130"/>
      <c r="M114" s="130"/>
      <c r="N114" s="130"/>
      <c r="O114" s="130"/>
      <c r="P114" s="130"/>
      <c r="Q114" s="88"/>
      <c r="R114" s="88"/>
      <c r="S114" s="88"/>
      <c r="T114" s="88"/>
      <c r="U114" s="88"/>
      <c r="V114" s="88"/>
      <c r="W114" s="88"/>
      <c r="X114" s="88"/>
      <c r="Y114" s="88"/>
      <c r="Z114" s="231" t="s">
        <v>609</v>
      </c>
      <c r="AA114" s="137"/>
      <c r="AQ114" s="139">
        <v>0</v>
      </c>
      <c r="AR114" s="397">
        <v>0</v>
      </c>
      <c r="AS114" s="399" t="s">
        <v>706</v>
      </c>
    </row>
    <row r="115" spans="2:45" ht="17.25">
      <c r="B115" s="88"/>
      <c r="C115" s="130"/>
      <c r="D115" s="88"/>
      <c r="E115" s="88"/>
      <c r="F115" s="88"/>
      <c r="G115" s="130"/>
      <c r="H115" s="130"/>
      <c r="I115" s="130"/>
      <c r="J115" s="130"/>
      <c r="K115" s="130"/>
      <c r="L115" s="130"/>
      <c r="M115" s="130"/>
      <c r="N115" s="130"/>
      <c r="O115" s="130"/>
      <c r="P115" s="130"/>
      <c r="Q115" s="88"/>
      <c r="R115" s="88"/>
      <c r="S115" s="88"/>
      <c r="T115" s="88"/>
      <c r="U115" s="88"/>
      <c r="V115" s="88"/>
      <c r="W115" s="88"/>
      <c r="X115" s="88"/>
      <c r="Y115" s="88"/>
      <c r="Z115" s="231" t="s">
        <v>610</v>
      </c>
      <c r="AA115" s="138"/>
      <c r="AQ115" s="140">
        <v>0</v>
      </c>
    </row>
    <row r="116" spans="2:45" ht="17.25">
      <c r="B116" s="88"/>
      <c r="C116" s="130"/>
      <c r="D116" s="88"/>
      <c r="E116" s="88"/>
      <c r="F116" s="88"/>
      <c r="G116" s="130"/>
      <c r="H116" s="130"/>
      <c r="I116" s="130"/>
      <c r="J116" s="130"/>
      <c r="K116" s="130"/>
      <c r="L116" s="130"/>
      <c r="M116" s="130"/>
      <c r="N116" s="130"/>
      <c r="O116" s="130"/>
      <c r="P116" s="130"/>
      <c r="Q116" s="88"/>
      <c r="R116" s="88"/>
      <c r="S116" s="88"/>
      <c r="T116" s="88"/>
      <c r="U116" s="88"/>
      <c r="V116" s="88"/>
      <c r="W116" s="88"/>
      <c r="X116" s="88"/>
      <c r="Y116" s="88"/>
      <c r="Z116" s="231" t="s">
        <v>611</v>
      </c>
      <c r="AA116" s="137"/>
    </row>
    <row r="117" spans="2:45" ht="17.25">
      <c r="B117" s="88"/>
      <c r="C117" s="130"/>
      <c r="D117" s="88"/>
      <c r="E117" s="88"/>
      <c r="F117" s="88"/>
      <c r="G117" s="130"/>
      <c r="H117" s="130"/>
      <c r="I117" s="130"/>
      <c r="J117" s="130"/>
      <c r="K117" s="130"/>
      <c r="L117" s="130"/>
      <c r="M117" s="130"/>
      <c r="N117" s="130"/>
      <c r="O117" s="130"/>
      <c r="P117" s="130"/>
      <c r="Q117" s="88"/>
      <c r="R117" s="88"/>
      <c r="S117" s="88"/>
      <c r="T117" s="88"/>
      <c r="U117" s="88"/>
      <c r="V117" s="88"/>
      <c r="W117" s="88"/>
      <c r="X117" s="88"/>
      <c r="Y117" s="88"/>
      <c r="Z117" s="231" t="s">
        <v>612</v>
      </c>
      <c r="AA117" s="137"/>
    </row>
    <row r="118" spans="2:45">
      <c r="B118" s="88"/>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8"/>
    </row>
    <row r="119" spans="2:45">
      <c r="B119" s="88"/>
      <c r="C119" s="88"/>
      <c r="D119" s="88"/>
      <c r="E119" s="88"/>
      <c r="F119" s="88"/>
      <c r="G119" s="88"/>
      <c r="H119" s="88"/>
      <c r="I119" s="88"/>
      <c r="J119" s="88"/>
      <c r="K119" s="88"/>
      <c r="L119" s="88"/>
      <c r="M119" s="88"/>
      <c r="N119" s="88"/>
      <c r="O119" s="88"/>
      <c r="P119" s="88"/>
      <c r="Q119" s="88"/>
      <c r="R119" s="88"/>
      <c r="S119" s="88"/>
      <c r="T119" s="88"/>
      <c r="U119" s="88"/>
      <c r="V119" s="88"/>
      <c r="W119" s="88"/>
      <c r="X119" s="88"/>
      <c r="Y119" s="88"/>
      <c r="Z119" s="88"/>
    </row>
    <row r="120" spans="2:45">
      <c r="B120" s="88"/>
      <c r="C120" s="489" t="s">
        <v>244</v>
      </c>
      <c r="D120" s="490"/>
      <c r="E120" s="490"/>
      <c r="F120" s="490"/>
      <c r="G120" s="490"/>
      <c r="H120" s="490"/>
      <c r="I120" s="490"/>
      <c r="J120" s="490"/>
      <c r="K120" s="490"/>
      <c r="L120" s="490"/>
      <c r="M120" s="490"/>
      <c r="N120" s="490"/>
      <c r="O120" s="490"/>
      <c r="P120" s="490"/>
      <c r="Q120" s="490"/>
      <c r="R120" s="490"/>
      <c r="S120" s="490"/>
      <c r="T120" s="490"/>
      <c r="U120" s="490"/>
      <c r="V120" s="490"/>
      <c r="W120" s="490"/>
      <c r="X120" s="490"/>
      <c r="Y120" s="491"/>
      <c r="Z120" s="88"/>
    </row>
    <row r="121" spans="2:45">
      <c r="B121" s="88"/>
      <c r="C121" s="502" t="s">
        <v>245</v>
      </c>
      <c r="D121" s="502"/>
      <c r="E121" s="502"/>
      <c r="F121" s="502"/>
      <c r="G121" s="502"/>
      <c r="H121" s="502"/>
      <c r="I121" s="506" t="str">
        <f>IF(依頼担当者Code="","",依頼担当者Code&amp;"@n-koei.co.jp")</f>
        <v>a5414@n-koei.co.jp</v>
      </c>
      <c r="J121" s="506"/>
      <c r="K121" s="506"/>
      <c r="L121" s="506"/>
      <c r="M121" s="506"/>
      <c r="N121" s="506"/>
      <c r="O121" s="506"/>
      <c r="P121" s="506"/>
      <c r="Q121" s="506"/>
      <c r="R121" s="506"/>
      <c r="S121" s="506"/>
      <c r="T121" s="506"/>
      <c r="U121" s="506"/>
      <c r="V121" s="506"/>
      <c r="W121" s="506"/>
      <c r="X121" s="506"/>
      <c r="Y121" s="506"/>
      <c r="Z121" s="88"/>
    </row>
    <row r="122" spans="2:45">
      <c r="B122" s="88"/>
      <c r="C122" s="502" t="s">
        <v>246</v>
      </c>
      <c r="D122" s="502"/>
      <c r="E122" s="502"/>
      <c r="F122" s="502"/>
      <c r="G122" s="502"/>
      <c r="H122" s="502"/>
      <c r="I122" s="498" t="str">
        <f>"【発注情報確認のお知らせ】（依頼番号："&amp;依頼番号&amp;"）"</f>
        <v>【発注情報確認のお知らせ】（依頼番号：JA1600301）</v>
      </c>
      <c r="J122" s="498"/>
      <c r="K122" s="498"/>
      <c r="L122" s="498"/>
      <c r="M122" s="498"/>
      <c r="N122" s="498"/>
      <c r="O122" s="498"/>
      <c r="P122" s="498"/>
      <c r="Q122" s="498"/>
      <c r="R122" s="498"/>
      <c r="S122" s="498"/>
      <c r="T122" s="498"/>
      <c r="U122" s="498"/>
      <c r="V122" s="498"/>
      <c r="W122" s="498"/>
      <c r="X122" s="498"/>
      <c r="Y122" s="498"/>
      <c r="Z122" s="88"/>
    </row>
    <row r="123" spans="2:45">
      <c r="B123" s="88"/>
      <c r="C123" s="502" t="s">
        <v>632</v>
      </c>
      <c r="D123" s="502"/>
      <c r="E123" s="502"/>
      <c r="F123" s="502"/>
      <c r="G123" s="502"/>
      <c r="H123" s="502"/>
      <c r="I123" s="506"/>
      <c r="J123" s="506"/>
      <c r="K123" s="506"/>
      <c r="L123" s="506"/>
      <c r="M123" s="506"/>
      <c r="N123" s="506"/>
      <c r="O123" s="506"/>
      <c r="P123" s="506"/>
      <c r="Q123" s="506"/>
      <c r="R123" s="507"/>
      <c r="S123" s="508"/>
      <c r="T123" s="508"/>
      <c r="U123" s="509"/>
      <c r="V123" s="506"/>
      <c r="W123" s="506"/>
      <c r="X123" s="506"/>
      <c r="Y123" s="506"/>
      <c r="Z123" s="88"/>
    </row>
    <row r="124" spans="2:45">
      <c r="B124" s="88"/>
      <c r="C124" s="502" t="s">
        <v>247</v>
      </c>
      <c r="D124" s="502"/>
      <c r="E124" s="502"/>
      <c r="F124" s="502"/>
      <c r="G124" s="502"/>
      <c r="H124" s="502"/>
      <c r="I124" s="518"/>
      <c r="J124" s="518"/>
      <c r="K124" s="518"/>
      <c r="L124" s="518"/>
      <c r="M124" s="518"/>
      <c r="N124" s="518"/>
      <c r="O124" s="518"/>
      <c r="P124" s="518"/>
      <c r="Q124" s="518"/>
      <c r="R124" s="518"/>
      <c r="S124" s="518"/>
      <c r="T124" s="518"/>
      <c r="U124" s="518"/>
      <c r="V124" s="518"/>
      <c r="W124" s="518"/>
      <c r="X124" s="518"/>
      <c r="Y124" s="518"/>
      <c r="Z124" s="88"/>
    </row>
    <row r="125" spans="2:45">
      <c r="B125" s="88"/>
      <c r="C125" s="469" t="s">
        <v>248</v>
      </c>
      <c r="D125" s="470"/>
      <c r="E125" s="470"/>
      <c r="F125" s="470"/>
      <c r="G125" s="470"/>
      <c r="H125" s="471"/>
      <c r="I125" s="498" t="s">
        <v>249</v>
      </c>
      <c r="J125" s="498"/>
      <c r="K125" s="498"/>
      <c r="L125" s="498"/>
      <c r="M125" s="499"/>
      <c r="N125" s="499"/>
      <c r="O125" s="499"/>
      <c r="P125" s="499"/>
      <c r="Q125" s="499"/>
      <c r="R125" s="499"/>
      <c r="S125" s="499"/>
      <c r="T125" s="499"/>
      <c r="U125" s="499"/>
      <c r="V125" s="499"/>
      <c r="W125" s="499"/>
      <c r="X125" s="499"/>
      <c r="Y125" s="499"/>
      <c r="Z125" s="88"/>
    </row>
    <row r="126" spans="2:45">
      <c r="B126" s="88"/>
      <c r="C126" s="469"/>
      <c r="D126" s="470"/>
      <c r="E126" s="470"/>
      <c r="F126" s="470"/>
      <c r="G126" s="470"/>
      <c r="H126" s="471"/>
      <c r="I126" s="503" t="s">
        <v>250</v>
      </c>
      <c r="J126" s="504"/>
      <c r="K126" s="504"/>
      <c r="L126" s="505"/>
      <c r="M126" s="502" t="str">
        <f>依頼番号</f>
        <v>JA1600301</v>
      </c>
      <c r="N126" s="502"/>
      <c r="O126" s="502"/>
      <c r="P126" s="502"/>
      <c r="Q126" s="502"/>
      <c r="R126" s="502"/>
      <c r="S126" s="502"/>
      <c r="T126" s="502"/>
      <c r="U126" s="502"/>
      <c r="V126" s="502"/>
      <c r="W126" s="502"/>
      <c r="X126" s="502"/>
      <c r="Y126" s="502"/>
      <c r="Z126" s="88"/>
    </row>
    <row r="127" spans="2:45">
      <c r="B127" s="88"/>
      <c r="C127" s="469"/>
      <c r="D127" s="470"/>
      <c r="E127" s="470"/>
      <c r="F127" s="470"/>
      <c r="G127" s="470"/>
      <c r="H127" s="471"/>
      <c r="I127" s="489" t="s">
        <v>246</v>
      </c>
      <c r="J127" s="490">
        <f>件名</f>
        <v>0</v>
      </c>
      <c r="K127" s="490"/>
      <c r="L127" s="491"/>
      <c r="M127" s="487" t="str">
        <f>WorkSubjectNameJ</f>
        <v>ベトナム国ハノイ環状3号線整備事業（マイジックｰ南タンロン区間）</v>
      </c>
      <c r="N127" s="487"/>
      <c r="O127" s="487"/>
      <c r="P127" s="487"/>
      <c r="Q127" s="487"/>
      <c r="R127" s="487"/>
      <c r="S127" s="487"/>
      <c r="T127" s="487"/>
      <c r="U127" s="487"/>
      <c r="V127" s="487"/>
      <c r="W127" s="487"/>
      <c r="X127" s="487"/>
      <c r="Y127" s="487"/>
      <c r="Z127" s="88"/>
    </row>
    <row r="128" spans="2:45">
      <c r="B128" s="88"/>
      <c r="C128" s="469"/>
      <c r="D128" s="470"/>
      <c r="E128" s="470"/>
      <c r="F128" s="470"/>
      <c r="G128" s="470"/>
      <c r="H128" s="471"/>
      <c r="I128" s="489" t="s">
        <v>82</v>
      </c>
      <c r="J128" s="490">
        <f>作業Code</f>
        <v>0</v>
      </c>
      <c r="K128" s="490"/>
      <c r="L128" s="491"/>
      <c r="M128" s="487" t="str">
        <f>WorkSubjectCode</f>
        <v>JA15R1003</v>
      </c>
      <c r="N128" s="487"/>
      <c r="O128" s="487"/>
      <c r="P128" s="487"/>
      <c r="Q128" s="487"/>
      <c r="R128" s="487"/>
      <c r="S128" s="487"/>
      <c r="T128" s="487"/>
      <c r="U128" s="487"/>
      <c r="V128" s="487"/>
      <c r="W128" s="487"/>
      <c r="X128" s="487"/>
      <c r="Y128" s="487"/>
      <c r="Z128" s="88"/>
    </row>
    <row r="129" spans="2:26">
      <c r="B129" s="88"/>
      <c r="C129" s="469"/>
      <c r="D129" s="470"/>
      <c r="E129" s="470"/>
      <c r="F129" s="470"/>
      <c r="G129" s="470"/>
      <c r="H129" s="471"/>
      <c r="I129" s="489" t="s">
        <v>251</v>
      </c>
      <c r="J129" s="490"/>
      <c r="K129" s="490"/>
      <c r="L129" s="491"/>
      <c r="M129" s="488"/>
      <c r="N129" s="488"/>
      <c r="O129" s="488"/>
      <c r="P129" s="488"/>
      <c r="Q129" s="488"/>
      <c r="R129" s="488"/>
      <c r="S129" s="488"/>
      <c r="T129" s="488"/>
      <c r="U129" s="488"/>
      <c r="V129" s="488"/>
      <c r="W129" s="488"/>
      <c r="X129" s="488"/>
      <c r="Y129" s="488"/>
      <c r="Z129" s="88"/>
    </row>
    <row r="130" spans="2:26">
      <c r="B130" s="88"/>
      <c r="C130" s="469"/>
      <c r="D130" s="470"/>
      <c r="E130" s="470"/>
      <c r="F130" s="470"/>
      <c r="G130" s="470"/>
      <c r="H130" s="471"/>
      <c r="I130" s="489" t="s">
        <v>252</v>
      </c>
      <c r="J130" s="490"/>
      <c r="K130" s="490"/>
      <c r="L130" s="491"/>
      <c r="M130" s="488"/>
      <c r="N130" s="488"/>
      <c r="O130" s="488"/>
      <c r="P130" s="488"/>
      <c r="Q130" s="488"/>
      <c r="R130" s="488"/>
      <c r="S130" s="488"/>
      <c r="T130" s="488"/>
      <c r="U130" s="488"/>
      <c r="V130" s="488"/>
      <c r="W130" s="488"/>
      <c r="X130" s="488"/>
      <c r="Y130" s="488"/>
      <c r="Z130" s="88"/>
    </row>
    <row r="131" spans="2:26">
      <c r="B131" s="88"/>
      <c r="C131" s="469"/>
      <c r="D131" s="470"/>
      <c r="E131" s="470"/>
      <c r="F131" s="470"/>
      <c r="G131" s="470"/>
      <c r="H131" s="471"/>
      <c r="I131" s="489" t="s">
        <v>621</v>
      </c>
      <c r="J131" s="490"/>
      <c r="K131" s="490"/>
      <c r="L131" s="491"/>
      <c r="M131" s="488"/>
      <c r="N131" s="488"/>
      <c r="O131" s="488"/>
      <c r="P131" s="488"/>
      <c r="Q131" s="488"/>
      <c r="R131" s="488"/>
      <c r="S131" s="488"/>
      <c r="T131" s="488"/>
      <c r="U131" s="488"/>
      <c r="V131" s="488"/>
      <c r="W131" s="488"/>
      <c r="X131" s="488"/>
      <c r="Y131" s="488"/>
      <c r="Z131" s="88"/>
    </row>
    <row r="132" spans="2:26">
      <c r="B132" s="88"/>
      <c r="C132" s="469"/>
      <c r="D132" s="470"/>
      <c r="E132" s="470"/>
      <c r="F132" s="470"/>
      <c r="G132" s="470"/>
      <c r="H132" s="471"/>
      <c r="I132" s="489" t="s">
        <v>253</v>
      </c>
      <c r="J132" s="490">
        <f>仕入先名称</f>
        <v>0</v>
      </c>
      <c r="K132" s="490"/>
      <c r="L132" s="491"/>
      <c r="M132" s="487" t="str">
        <f>IF(ContractorName="","",ContractorName) &amp; IF(DispatchPersonName="",""," ( " &amp; DispatchPersonName &amp; " )")</f>
        <v>有限責任事業組合インフラ・アセット・エンジニアリング ( 田中　健治 )</v>
      </c>
      <c r="N132" s="487"/>
      <c r="O132" s="487"/>
      <c r="P132" s="487"/>
      <c r="Q132" s="487"/>
      <c r="R132" s="487"/>
      <c r="S132" s="487"/>
      <c r="T132" s="487"/>
      <c r="U132" s="487"/>
      <c r="V132" s="487"/>
      <c r="W132" s="487"/>
      <c r="X132" s="487"/>
      <c r="Y132" s="487"/>
      <c r="Z132" s="88"/>
    </row>
    <row r="133" spans="2:26">
      <c r="B133" s="88"/>
      <c r="C133" s="469"/>
      <c r="D133" s="470"/>
      <c r="E133" s="470"/>
      <c r="F133" s="470"/>
      <c r="G133" s="470"/>
      <c r="H133" s="471"/>
      <c r="I133" s="478" t="str">
        <f>"期間変更依頼書を作成する場合は、必ずサーバー保存されたファイルを使用してください。
ファイル保存先：" &amp; AI86</f>
        <v>期間変更依頼書を作成する場合は、必ずサーバー保存されたファイルを使用してください。
ファイル保存先：</v>
      </c>
      <c r="J133" s="479"/>
      <c r="K133" s="479"/>
      <c r="L133" s="479"/>
      <c r="M133" s="479"/>
      <c r="N133" s="479"/>
      <c r="O133" s="479"/>
      <c r="P133" s="479"/>
      <c r="Q133" s="479"/>
      <c r="R133" s="479"/>
      <c r="S133" s="479"/>
      <c r="T133" s="479"/>
      <c r="U133" s="479"/>
      <c r="V133" s="479"/>
      <c r="W133" s="479"/>
      <c r="X133" s="479"/>
      <c r="Y133" s="480"/>
      <c r="Z133" s="88"/>
    </row>
    <row r="134" spans="2:26">
      <c r="B134" s="88"/>
      <c r="C134" s="469"/>
      <c r="D134" s="470"/>
      <c r="E134" s="470"/>
      <c r="F134" s="470"/>
      <c r="G134" s="470"/>
      <c r="H134" s="471"/>
      <c r="I134" s="481"/>
      <c r="J134" s="482"/>
      <c r="K134" s="482"/>
      <c r="L134" s="482"/>
      <c r="M134" s="482"/>
      <c r="N134" s="482"/>
      <c r="O134" s="482"/>
      <c r="P134" s="482"/>
      <c r="Q134" s="482"/>
      <c r="R134" s="482"/>
      <c r="S134" s="482"/>
      <c r="T134" s="482"/>
      <c r="U134" s="482"/>
      <c r="V134" s="482"/>
      <c r="W134" s="482"/>
      <c r="X134" s="482"/>
      <c r="Y134" s="483"/>
      <c r="Z134" s="88"/>
    </row>
    <row r="135" spans="2:26">
      <c r="B135" s="88"/>
      <c r="C135" s="469"/>
      <c r="D135" s="470"/>
      <c r="E135" s="470"/>
      <c r="F135" s="470"/>
      <c r="G135" s="470"/>
      <c r="H135" s="471"/>
      <c r="I135" s="481"/>
      <c r="J135" s="482"/>
      <c r="K135" s="482"/>
      <c r="L135" s="482"/>
      <c r="M135" s="482"/>
      <c r="N135" s="482"/>
      <c r="O135" s="482"/>
      <c r="P135" s="482"/>
      <c r="Q135" s="482"/>
      <c r="R135" s="482"/>
      <c r="S135" s="482"/>
      <c r="T135" s="482"/>
      <c r="U135" s="482"/>
      <c r="V135" s="482"/>
      <c r="W135" s="482"/>
      <c r="X135" s="482"/>
      <c r="Y135" s="483"/>
      <c r="Z135" s="88"/>
    </row>
    <row r="136" spans="2:26">
      <c r="B136" s="88"/>
      <c r="C136" s="469"/>
      <c r="D136" s="470"/>
      <c r="E136" s="470"/>
      <c r="F136" s="470"/>
      <c r="G136" s="470"/>
      <c r="H136" s="471"/>
      <c r="I136" s="481"/>
      <c r="J136" s="482"/>
      <c r="K136" s="482"/>
      <c r="L136" s="482"/>
      <c r="M136" s="482"/>
      <c r="N136" s="482"/>
      <c r="O136" s="482"/>
      <c r="P136" s="482"/>
      <c r="Q136" s="482"/>
      <c r="R136" s="482"/>
      <c r="S136" s="482"/>
      <c r="T136" s="482"/>
      <c r="U136" s="482"/>
      <c r="V136" s="482"/>
      <c r="W136" s="482"/>
      <c r="X136" s="482"/>
      <c r="Y136" s="483"/>
      <c r="Z136" s="88"/>
    </row>
    <row r="137" spans="2:26">
      <c r="B137" s="88"/>
      <c r="C137" s="469"/>
      <c r="D137" s="470"/>
      <c r="E137" s="470"/>
      <c r="F137" s="470"/>
      <c r="G137" s="470"/>
      <c r="H137" s="471"/>
      <c r="I137" s="481"/>
      <c r="J137" s="482"/>
      <c r="K137" s="482"/>
      <c r="L137" s="482"/>
      <c r="M137" s="482"/>
      <c r="N137" s="482"/>
      <c r="O137" s="482"/>
      <c r="P137" s="482"/>
      <c r="Q137" s="482"/>
      <c r="R137" s="482"/>
      <c r="S137" s="482"/>
      <c r="T137" s="482"/>
      <c r="U137" s="482"/>
      <c r="V137" s="482"/>
      <c r="W137" s="482"/>
      <c r="X137" s="482"/>
      <c r="Y137" s="483"/>
      <c r="Z137" s="88"/>
    </row>
    <row r="138" spans="2:26">
      <c r="B138" s="88"/>
      <c r="C138" s="469"/>
      <c r="D138" s="470"/>
      <c r="E138" s="470"/>
      <c r="F138" s="470"/>
      <c r="G138" s="470"/>
      <c r="H138" s="471"/>
      <c r="I138" s="481"/>
      <c r="J138" s="482"/>
      <c r="K138" s="482"/>
      <c r="L138" s="482"/>
      <c r="M138" s="482"/>
      <c r="N138" s="482"/>
      <c r="O138" s="482"/>
      <c r="P138" s="482"/>
      <c r="Q138" s="482"/>
      <c r="R138" s="482"/>
      <c r="S138" s="482"/>
      <c r="T138" s="482"/>
      <c r="U138" s="482"/>
      <c r="V138" s="482"/>
      <c r="W138" s="482"/>
      <c r="X138" s="482"/>
      <c r="Y138" s="483"/>
      <c r="Z138" s="88"/>
    </row>
    <row r="139" spans="2:26">
      <c r="B139" s="88"/>
      <c r="C139" s="469"/>
      <c r="D139" s="470"/>
      <c r="E139" s="470"/>
      <c r="F139" s="470"/>
      <c r="G139" s="470"/>
      <c r="H139" s="471"/>
      <c r="I139" s="481"/>
      <c r="J139" s="482"/>
      <c r="K139" s="482"/>
      <c r="L139" s="482"/>
      <c r="M139" s="482"/>
      <c r="N139" s="482"/>
      <c r="O139" s="482"/>
      <c r="P139" s="482"/>
      <c r="Q139" s="482"/>
      <c r="R139" s="482"/>
      <c r="S139" s="482"/>
      <c r="T139" s="482"/>
      <c r="U139" s="482"/>
      <c r="V139" s="482"/>
      <c r="W139" s="482"/>
      <c r="X139" s="482"/>
      <c r="Y139" s="483"/>
      <c r="Z139" s="88"/>
    </row>
    <row r="140" spans="2:26">
      <c r="B140" s="88"/>
      <c r="C140" s="469"/>
      <c r="D140" s="470"/>
      <c r="E140" s="470"/>
      <c r="F140" s="470"/>
      <c r="G140" s="470"/>
      <c r="H140" s="471"/>
      <c r="I140" s="481"/>
      <c r="J140" s="482"/>
      <c r="K140" s="482"/>
      <c r="L140" s="482"/>
      <c r="M140" s="482"/>
      <c r="N140" s="482"/>
      <c r="O140" s="482"/>
      <c r="P140" s="482"/>
      <c r="Q140" s="482"/>
      <c r="R140" s="482"/>
      <c r="S140" s="482"/>
      <c r="T140" s="482"/>
      <c r="U140" s="482"/>
      <c r="V140" s="482"/>
      <c r="W140" s="482"/>
      <c r="X140" s="482"/>
      <c r="Y140" s="483"/>
      <c r="Z140" s="88"/>
    </row>
    <row r="141" spans="2:26">
      <c r="B141" s="88"/>
      <c r="C141" s="469"/>
      <c r="D141" s="470"/>
      <c r="E141" s="470"/>
      <c r="F141" s="470"/>
      <c r="G141" s="470"/>
      <c r="H141" s="471"/>
      <c r="I141" s="481"/>
      <c r="J141" s="482"/>
      <c r="K141" s="482"/>
      <c r="L141" s="482"/>
      <c r="M141" s="482"/>
      <c r="N141" s="482"/>
      <c r="O141" s="482"/>
      <c r="P141" s="482"/>
      <c r="Q141" s="482"/>
      <c r="R141" s="482"/>
      <c r="S141" s="482"/>
      <c r="T141" s="482"/>
      <c r="U141" s="482"/>
      <c r="V141" s="482"/>
      <c r="W141" s="482"/>
      <c r="X141" s="482"/>
      <c r="Y141" s="483"/>
      <c r="Z141" s="88"/>
    </row>
    <row r="142" spans="2:26">
      <c r="B142" s="88"/>
      <c r="C142" s="469"/>
      <c r="D142" s="470"/>
      <c r="E142" s="470"/>
      <c r="F142" s="470"/>
      <c r="G142" s="470"/>
      <c r="H142" s="471"/>
      <c r="I142" s="481"/>
      <c r="J142" s="482"/>
      <c r="K142" s="482"/>
      <c r="L142" s="482"/>
      <c r="M142" s="482"/>
      <c r="N142" s="482"/>
      <c r="O142" s="482"/>
      <c r="P142" s="482"/>
      <c r="Q142" s="482"/>
      <c r="R142" s="482"/>
      <c r="S142" s="482"/>
      <c r="T142" s="482"/>
      <c r="U142" s="482"/>
      <c r="V142" s="482"/>
      <c r="W142" s="482"/>
      <c r="X142" s="482"/>
      <c r="Y142" s="483"/>
      <c r="Z142" s="88"/>
    </row>
    <row r="143" spans="2:26">
      <c r="B143" s="88"/>
      <c r="C143" s="472"/>
      <c r="D143" s="473"/>
      <c r="E143" s="473"/>
      <c r="F143" s="473"/>
      <c r="G143" s="473"/>
      <c r="H143" s="474"/>
      <c r="I143" s="484"/>
      <c r="J143" s="485"/>
      <c r="K143" s="485"/>
      <c r="L143" s="485"/>
      <c r="M143" s="485"/>
      <c r="N143" s="485"/>
      <c r="O143" s="485"/>
      <c r="P143" s="485"/>
      <c r="Q143" s="485"/>
      <c r="R143" s="485"/>
      <c r="S143" s="485"/>
      <c r="T143" s="485"/>
      <c r="U143" s="485"/>
      <c r="V143" s="485"/>
      <c r="W143" s="485"/>
      <c r="X143" s="485"/>
      <c r="Y143" s="486"/>
      <c r="Z143" s="88"/>
    </row>
  </sheetData>
  <dataConsolidate/>
  <mergeCells count="218">
    <mergeCell ref="E3:L3"/>
    <mergeCell ref="F46:J46"/>
    <mergeCell ref="AA55:AF55"/>
    <mergeCell ref="AC69:AD69"/>
    <mergeCell ref="AB48:AG48"/>
    <mergeCell ref="L53:P53"/>
    <mergeCell ref="AC50:AG50"/>
    <mergeCell ref="AB49:AE49"/>
    <mergeCell ref="F56:J56"/>
    <mergeCell ref="F57:J57"/>
    <mergeCell ref="AF64:AI64"/>
    <mergeCell ref="AF69:AI69"/>
    <mergeCell ref="AH66:AI66"/>
    <mergeCell ref="AH65:AI65"/>
    <mergeCell ref="Z59:AA59"/>
    <mergeCell ref="Z64:AA64"/>
    <mergeCell ref="Z69:AA69"/>
    <mergeCell ref="AC64:AD64"/>
    <mergeCell ref="AH61:AI61"/>
    <mergeCell ref="AF59:AI59"/>
    <mergeCell ref="AH60:AI60"/>
    <mergeCell ref="AC59:AD59"/>
    <mergeCell ref="F49:J49"/>
    <mergeCell ref="F48:J48"/>
    <mergeCell ref="F54:J54"/>
    <mergeCell ref="AE3:AF3"/>
    <mergeCell ref="AG3:AI3"/>
    <mergeCell ref="AE6:AF6"/>
    <mergeCell ref="AH27:AI27"/>
    <mergeCell ref="AE7:AF7"/>
    <mergeCell ref="AG6:AI6"/>
    <mergeCell ref="AG12:AI12"/>
    <mergeCell ref="AG7:AI7"/>
    <mergeCell ref="AG8:AI8"/>
    <mergeCell ref="AG11:AI11"/>
    <mergeCell ref="AE8:AF8"/>
    <mergeCell ref="AE11:AF11"/>
    <mergeCell ref="AE12:AF12"/>
    <mergeCell ref="G28:X28"/>
    <mergeCell ref="AE13:AF13"/>
    <mergeCell ref="M31:P31"/>
    <mergeCell ref="G29:X29"/>
    <mergeCell ref="AG13:AI13"/>
    <mergeCell ref="AG14:AI14"/>
    <mergeCell ref="AE14:AF14"/>
    <mergeCell ref="AH35:AI35"/>
    <mergeCell ref="AC34:AG34"/>
    <mergeCell ref="Y24:AA24"/>
    <mergeCell ref="AC31:AG31"/>
    <mergeCell ref="AH44:AI44"/>
    <mergeCell ref="AG22:AH22"/>
    <mergeCell ref="AE22:AF22"/>
    <mergeCell ref="AC39:AG39"/>
    <mergeCell ref="AB25:AI26"/>
    <mergeCell ref="AC32:AG32"/>
    <mergeCell ref="AC33:AG33"/>
    <mergeCell ref="AH36:AI36"/>
    <mergeCell ref="AH43:AI43"/>
    <mergeCell ref="AH28:AI28"/>
    <mergeCell ref="AC41:AG41"/>
    <mergeCell ref="C2:D2"/>
    <mergeCell ref="C3:D6"/>
    <mergeCell ref="F45:J45"/>
    <mergeCell ref="F42:J42"/>
    <mergeCell ref="C34:F36"/>
    <mergeCell ref="F44:J44"/>
    <mergeCell ref="C27:F27"/>
    <mergeCell ref="G27:K27"/>
    <mergeCell ref="C26:F26"/>
    <mergeCell ref="G34:X36"/>
    <mergeCell ref="G32:L32"/>
    <mergeCell ref="G31:L31"/>
    <mergeCell ref="O26:W27"/>
    <mergeCell ref="C21:F24"/>
    <mergeCell ref="G22:K22"/>
    <mergeCell ref="G21:K21"/>
    <mergeCell ref="G33:L33"/>
    <mergeCell ref="G23:K23"/>
    <mergeCell ref="Q23:T23"/>
    <mergeCell ref="U23:X23"/>
    <mergeCell ref="G24:K24"/>
    <mergeCell ref="L24:X24"/>
    <mergeCell ref="C28:F28"/>
    <mergeCell ref="Q32:X33"/>
    <mergeCell ref="AT19:AW19"/>
    <mergeCell ref="AP19:AS19"/>
    <mergeCell ref="AG20:AH20"/>
    <mergeCell ref="AG21:AH21"/>
    <mergeCell ref="AB23:AI23"/>
    <mergeCell ref="AE21:AF21"/>
    <mergeCell ref="AE20:AF20"/>
    <mergeCell ref="C25:F25"/>
    <mergeCell ref="G25:K25"/>
    <mergeCell ref="N25:U25"/>
    <mergeCell ref="AB24:AF24"/>
    <mergeCell ref="Y23:AA23"/>
    <mergeCell ref="L23:P23"/>
    <mergeCell ref="L21:AD21"/>
    <mergeCell ref="L22:AD22"/>
    <mergeCell ref="C41:E41"/>
    <mergeCell ref="G39:K39"/>
    <mergeCell ref="F53:J53"/>
    <mergeCell ref="L57:P57"/>
    <mergeCell ref="AB77:AC77"/>
    <mergeCell ref="L55:P55"/>
    <mergeCell ref="AC40:AG40"/>
    <mergeCell ref="AC42:AG42"/>
    <mergeCell ref="C29:F29"/>
    <mergeCell ref="Q31:X31"/>
    <mergeCell ref="M32:P33"/>
    <mergeCell ref="C39:E39"/>
    <mergeCell ref="F51:J51"/>
    <mergeCell ref="F52:J52"/>
    <mergeCell ref="L49:P49"/>
    <mergeCell ref="L51:P51"/>
    <mergeCell ref="L47:P47"/>
    <mergeCell ref="L45:P45"/>
    <mergeCell ref="C31:F31"/>
    <mergeCell ref="C30:F30"/>
    <mergeCell ref="L42:P42"/>
    <mergeCell ref="C32:F32"/>
    <mergeCell ref="C33:F33"/>
    <mergeCell ref="G30:X30"/>
    <mergeCell ref="AG80:AI80"/>
    <mergeCell ref="AE75:AI75"/>
    <mergeCell ref="C100:H100"/>
    <mergeCell ref="I105:X105"/>
    <mergeCell ref="F43:J43"/>
    <mergeCell ref="AG82:AI82"/>
    <mergeCell ref="AH71:AI71"/>
    <mergeCell ref="AH70:AI70"/>
    <mergeCell ref="F55:J55"/>
    <mergeCell ref="L44:P44"/>
    <mergeCell ref="AF98:AG98"/>
    <mergeCell ref="AF84:AI84"/>
    <mergeCell ref="I97:X97"/>
    <mergeCell ref="I98:X98"/>
    <mergeCell ref="Z84:AA84"/>
    <mergeCell ref="AG81:AI81"/>
    <mergeCell ref="AE77:AI77"/>
    <mergeCell ref="AE78:AI78"/>
    <mergeCell ref="AC51:AH51"/>
    <mergeCell ref="L52:P52"/>
    <mergeCell ref="L50:P50"/>
    <mergeCell ref="L43:P43"/>
    <mergeCell ref="L48:P48"/>
    <mergeCell ref="C105:H105"/>
    <mergeCell ref="C124:H124"/>
    <mergeCell ref="C122:H122"/>
    <mergeCell ref="I123:L123"/>
    <mergeCell ref="C123:H123"/>
    <mergeCell ref="I124:Y124"/>
    <mergeCell ref="L46:P46"/>
    <mergeCell ref="Y79:Z79"/>
    <mergeCell ref="C112:H112"/>
    <mergeCell ref="C121:H121"/>
    <mergeCell ref="I100:X100"/>
    <mergeCell ref="I107:X107"/>
    <mergeCell ref="C102:H102"/>
    <mergeCell ref="I104:X104"/>
    <mergeCell ref="C103:H103"/>
    <mergeCell ref="C101:H101"/>
    <mergeCell ref="I112:X112"/>
    <mergeCell ref="C108:H111"/>
    <mergeCell ref="C107:H107"/>
    <mergeCell ref="C106:H106"/>
    <mergeCell ref="I106:X106"/>
    <mergeCell ref="I108:X111"/>
    <mergeCell ref="F50:J50"/>
    <mergeCell ref="F47:J47"/>
    <mergeCell ref="L54:P54"/>
    <mergeCell ref="C104:H104"/>
    <mergeCell ref="I101:X101"/>
    <mergeCell ref="C97:H97"/>
    <mergeCell ref="I99:X99"/>
    <mergeCell ref="C98:H98"/>
    <mergeCell ref="C99:H99"/>
    <mergeCell ref="Q59:R59"/>
    <mergeCell ref="T59:U59"/>
    <mergeCell ref="V59:W59"/>
    <mergeCell ref="C61:X61"/>
    <mergeCell ref="M128:Y128"/>
    <mergeCell ref="L56:P56"/>
    <mergeCell ref="M127:Y127"/>
    <mergeCell ref="M126:Y126"/>
    <mergeCell ref="I128:L128"/>
    <mergeCell ref="I127:L127"/>
    <mergeCell ref="I126:L126"/>
    <mergeCell ref="V123:Y123"/>
    <mergeCell ref="R123:U123"/>
    <mergeCell ref="M123:Q123"/>
    <mergeCell ref="I122:Y122"/>
    <mergeCell ref="I103:X103"/>
    <mergeCell ref="I121:Y121"/>
    <mergeCell ref="P5:Z6"/>
    <mergeCell ref="BG9:BI9"/>
    <mergeCell ref="AA47:AI47"/>
    <mergeCell ref="C125:H143"/>
    <mergeCell ref="D63:W63"/>
    <mergeCell ref="D64:W64"/>
    <mergeCell ref="D65:W65"/>
    <mergeCell ref="D66:W66"/>
    <mergeCell ref="D67:W67"/>
    <mergeCell ref="D68:W68"/>
    <mergeCell ref="F77:W77"/>
    <mergeCell ref="I133:Y143"/>
    <mergeCell ref="M132:Y132"/>
    <mergeCell ref="M131:Y131"/>
    <mergeCell ref="M129:Y129"/>
    <mergeCell ref="I130:L130"/>
    <mergeCell ref="I131:L131"/>
    <mergeCell ref="I129:L129"/>
    <mergeCell ref="I132:L132"/>
    <mergeCell ref="M130:Y130"/>
    <mergeCell ref="I102:X102"/>
    <mergeCell ref="C71:X71"/>
    <mergeCell ref="C120:Y120"/>
    <mergeCell ref="I125:Y125"/>
  </mergeCells>
  <phoneticPr fontId="2"/>
  <dataValidations xWindow="358" yWindow="143" count="34">
    <dataValidation allowBlank="1" showInputMessage="1" showErrorMessage="1" promptTitle="期間入力方法" prompt="一行に入力する単位は、_x000a_「国内・国外毎」_x000a_「一か月毎」_x000a_で入力してください。_x000a_" sqref="K42:K57"/>
    <dataValidation type="list" imeMode="hiragana" allowBlank="1" showInputMessage="1" sqref="D42:D57">
      <formula1>$BA$21:$BA$22</formula1>
    </dataValidation>
    <dataValidation type="list" allowBlank="1" showInputMessage="1" showErrorMessage="1" sqref="N25:U25">
      <formula1>$BB$21:$BB$23</formula1>
    </dataValidation>
    <dataValidation type="list" allowBlank="1" showInputMessage="1" showErrorMessage="1" sqref="G25:K25">
      <formula1>$BG$28:$BG$31</formula1>
    </dataValidation>
    <dataValidation type="list" allowBlank="1" showInputMessage="1" showErrorMessage="1" sqref="AG81">
      <formula1>$BU$21:$BU$23</formula1>
    </dataValidation>
    <dataValidation type="list" allowBlank="1" showInputMessage="1" showErrorMessage="1" sqref="AG82">
      <formula1>$BW$21:$BW$22</formula1>
    </dataValidation>
    <dataValidation type="list" allowBlank="1" showInputMessage="1" showErrorMessage="1" sqref="AC33:AG33">
      <formula1>$BM$21:$BM$23</formula1>
    </dataValidation>
    <dataValidation type="list" allowBlank="1" showInputMessage="1" showErrorMessage="1" sqref="AC39:AG39">
      <formula1>$BN$21:$BN$26</formula1>
    </dataValidation>
    <dataValidation type="list" allowBlank="1" showInputMessage="1" showErrorMessage="1" sqref="AC41:AG41">
      <formula1>$BP$21:$BP$23</formula1>
    </dataValidation>
    <dataValidation type="list" allowBlank="1" showInputMessage="1" showErrorMessage="1" sqref="AB49:AE49">
      <formula1>$BR$21:$BR$24</formula1>
    </dataValidation>
    <dataValidation type="list" allowBlank="1" showInputMessage="1" showErrorMessage="1" sqref="AA55:AF55">
      <formula1>$BT$21:$BT$23</formula1>
    </dataValidation>
    <dataValidation type="list" allowBlank="1" showInputMessage="1" showErrorMessage="1" sqref="AC31:AG31">
      <formula1>$BK$21:$BK$25</formula1>
    </dataValidation>
    <dataValidation type="list" allowBlank="1" showInputMessage="1" showErrorMessage="1" sqref="AE71 AE66 AE61 AE36 AE44 AE28">
      <formula1>$BI$21:$BI$25</formula1>
    </dataValidation>
    <dataValidation type="list" allowBlank="1" showInputMessage="1" showErrorMessage="1" sqref="G27:K27">
      <formula1>$AP$35:$AP$39</formula1>
    </dataValidation>
    <dataValidation allowBlank="1" showInputMessage="1" sqref="AC69:AD69 AC59:AD59 AC64:AD64"/>
    <dataValidation type="list" allowBlank="1" showInputMessage="1" sqref="AF59 AF69 AF64">
      <formula1>$BS$21:$BS$23</formula1>
    </dataValidation>
    <dataValidation type="date" imeMode="off" allowBlank="1" showInputMessage="1" showErrorMessage="1" sqref="L23:P23 AG6:AI8">
      <formula1>1</formula1>
      <formula2>401768</formula2>
    </dataValidation>
    <dataValidation imeMode="hiragana" allowBlank="1" showInputMessage="1" showErrorMessage="1" sqref="Z69:AA69 Z64:AA64 Z59:AA59 AC51:AH51 AC50:AG50 AB25 I108:X111 H60:W60 D63:D68 L24:X24 I133 AC34:AG34 AC42:AG42 AB48:AG48 L21"/>
    <dataValidation type="decimal" imeMode="off" allowBlank="1" showInputMessage="1" showErrorMessage="1" sqref="AB71 AB66 AB61 X39:X46 X48:X54 AB36 AB44 M39:W40 H40:L40">
      <formula1>0.001</formula1>
      <formula2>9999999999999.99</formula2>
    </dataValidation>
    <dataValidation imeMode="off" allowBlank="1" showInputMessage="1" showErrorMessage="1" sqref="I103:X103 AD44 AB28 I112:X112 AD36 L22"/>
    <dataValidation type="date" imeMode="off" allowBlank="1" showInputMessage="1" showErrorMessage="1" promptTitle="期間入力方法" prompt="一行に入力する単位は、_x000a_「国内・国外毎」_x000a_「一か月毎」_x000a_で入力してください。_x000a_" sqref="I98:X98 F42:J57 L42:P57">
      <formula1>1</formula1>
      <formula2>401768</formula2>
    </dataValidation>
    <dataValidation type="decimal" imeMode="off" allowBlank="1" showInputMessage="1" showErrorMessage="1" sqref="AB72 AB62 AB67 AB45 AB37 AB29">
      <formula1>0.00001</formula1>
      <formula2>9999999999.99999</formula2>
    </dataValidation>
    <dataValidation type="decimal" imeMode="off" allowBlank="1" showInputMessage="1" showErrorMessage="1" sqref="AD71 AD66 AD61 AD28">
      <formula1>0.01</formula1>
      <formula2>99999.99</formula2>
    </dataValidation>
    <dataValidation type="list" allowBlank="1" showInputMessage="1" showErrorMessage="1" sqref="I101:X101">
      <formula1>$AQ$98:$AQ$103</formula1>
    </dataValidation>
    <dataValidation type="list" allowBlank="1" showInputMessage="1" showErrorMessage="1" sqref="I102:X102">
      <formula1>$AR$98:$AR$99</formula1>
    </dataValidation>
    <dataValidation type="list" allowBlank="1" showInputMessage="1" showErrorMessage="1" sqref="I104:X107">
      <formula1>$AS$99</formula1>
    </dataValidation>
    <dataValidation type="list" imeMode="off" allowBlank="1" showInputMessage="1" showErrorMessage="1" sqref="C3:D6">
      <formula1>$A$3:$A$8</formula1>
    </dataValidation>
    <dataValidation type="list" imeMode="off" allowBlank="1" showInputMessage="1" showErrorMessage="1" errorTitle="入力規則エラー" error="不正な事業領域です" sqref="I99:X99">
      <formula1>$Z$99:$Z$117</formula1>
    </dataValidation>
    <dataValidation type="list" allowBlank="1" showInputMessage="1" showErrorMessage="1" sqref="G39:K39">
      <formula1>$AS$35:$AS$36</formula1>
    </dataValidation>
    <dataValidation type="list" allowBlank="1" showInputMessage="1" showErrorMessage="1" sqref="AA47">
      <formula1>$BQ$21:$BQ$25</formula1>
    </dataValidation>
    <dataValidation type="list" allowBlank="1" showInputMessage="1" showErrorMessage="1" sqref="AG80:AI80">
      <formula1>$BV$21:$BV$24</formula1>
    </dataValidation>
    <dataValidation type="list" allowBlank="1" showInputMessage="1" showErrorMessage="1" sqref="AB77">
      <formula1>$AR$112:$AR$114</formula1>
    </dataValidation>
    <dataValidation type="list" imeMode="off" allowBlank="1" showInputMessage="1" sqref="Y70 Y25 Y31 Y39 Y47 Y54 Y60 Y65">
      <formula1>$AK$23:$AK$36</formula1>
    </dataValidation>
    <dataValidation type="list" allowBlank="1" showInputMessage="1" showErrorMessage="1" sqref="I100:X100">
      <formula1>LST支払条件</formula1>
    </dataValidation>
  </dataValidations>
  <printOptions horizontalCentered="1"/>
  <pageMargins left="0.19685039370078741" right="0.11811023622047245" top="0.62992125984251968" bottom="0.19685039370078741" header="0.23622047244094491" footer="0.19685039370078741"/>
  <pageSetup paperSize="9" scale="58" orientation="portrait" r:id="rId1"/>
  <headerFooter alignWithMargins="0"/>
  <ignoredErrors>
    <ignoredError sqref="R42:R45 U42:U57 R46:R57 W42:W57 AG20:AH22" unlockedFormula="1"/>
  </ignoredErrors>
  <drawing r:id="rId2"/>
  <legacyDrawing r:id="rId3"/>
  <controls>
    <control shapeId="4654" r:id="rId4" name="Label1"/>
    <control shapeId="4655" r:id="rId5" name="Label2"/>
    <control shapeId="4656" r:id="rId6" name="Label3"/>
    <control shapeId="4657" r:id="rId7" name="Label4"/>
    <control shapeId="4407" r:id="rId8" name="ComboBoxStayPayMethod"/>
    <control shapeId="4467" r:id="rId9" name="ComboBoxDailyPayMethod"/>
    <control shapeId="4456" r:id="rId10" name="CheckBox3"/>
    <control shapeId="4772" r:id="rId11" name="CheckBox4"/>
    <control shapeId="4773" r:id="rId12" name="CheckBox5"/>
    <control shapeId="4774" r:id="rId13" name="CheckBox6"/>
    <control shapeId="4775" r:id="rId14" name="CheckBox7"/>
    <control shapeId="4776" r:id="rId15" name="CheckBox8"/>
    <control shapeId="4828" r:id="rId16" name="CheckBox9"/>
    <control shapeId="4852" r:id="rId17" name="OptionButton1"/>
    <control shapeId="4853" r:id="rId18" name="OptionButton2"/>
    <control shapeId="4855" r:id="rId19" name="CheckBox1"/>
    <control shapeId="4856" r:id="rId20" name="CheckBox2"/>
    <control shapeId="4892" r:id="rId21" name="CheckBox10"/>
  </controls>
</worksheet>
</file>

<file path=xl/worksheets/sheet5.xml><?xml version="1.0" encoding="utf-8"?>
<worksheet xmlns="http://schemas.openxmlformats.org/spreadsheetml/2006/main" xmlns:r="http://schemas.openxmlformats.org/officeDocument/2006/relationships">
  <sheetPr codeName="Sheet12"/>
  <dimension ref="A1:AS62"/>
  <sheetViews>
    <sheetView showZeros="0" topLeftCell="A37" zoomScaleNormal="100" workbookViewId="0">
      <selection activeCell="I69" sqref="I69"/>
    </sheetView>
  </sheetViews>
  <sheetFormatPr defaultRowHeight="13.5"/>
  <cols>
    <col min="1" max="11" width="2.25" style="160" customWidth="1"/>
    <col min="12" max="12" width="1.25" style="160" customWidth="1"/>
    <col min="13" max="13" width="2.125" style="160" customWidth="1"/>
    <col min="14" max="18" width="2.25" style="160" customWidth="1"/>
    <col min="19" max="19" width="1.125" style="160" customWidth="1"/>
    <col min="20" max="21" width="2.25" style="160" customWidth="1"/>
    <col min="22" max="22" width="1.125" style="160" customWidth="1"/>
    <col min="23" max="33" width="2.25" style="160" customWidth="1"/>
    <col min="34" max="34" width="1.125" style="160" customWidth="1"/>
    <col min="35" max="35" width="2.25" style="160" customWidth="1"/>
    <col min="36" max="36" width="1.125" style="160" customWidth="1"/>
    <col min="37" max="42" width="2.25" style="160" customWidth="1"/>
    <col min="43" max="43" width="1.125" style="160" customWidth="1"/>
    <col min="44" max="44" width="2.25" style="160" customWidth="1"/>
    <col min="45" max="45" width="1.125" style="160" customWidth="1"/>
    <col min="46" max="87" width="2.125" style="160" customWidth="1"/>
    <col min="88" max="16384" width="9" style="160"/>
  </cols>
  <sheetData>
    <row r="1" spans="1:44" ht="13.5" customHeight="1">
      <c r="A1" s="158"/>
      <c r="B1" s="158"/>
      <c r="C1" s="158"/>
      <c r="D1" s="158"/>
      <c r="E1" s="158"/>
      <c r="F1" s="158"/>
      <c r="G1" s="158"/>
      <c r="H1" s="158"/>
      <c r="I1" s="737" t="s">
        <v>362</v>
      </c>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158"/>
      <c r="AL1" s="158"/>
      <c r="AM1" s="158"/>
      <c r="AN1" s="158"/>
      <c r="AO1" s="158"/>
      <c r="AP1" s="159"/>
    </row>
    <row r="2" spans="1:44" ht="13.5" customHeight="1">
      <c r="A2" s="158"/>
      <c r="B2" s="158"/>
      <c r="C2" s="158"/>
      <c r="D2" s="158"/>
      <c r="E2" s="158"/>
      <c r="F2" s="158"/>
      <c r="G2" s="158"/>
      <c r="H2" s="158"/>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158"/>
      <c r="AL2" s="158"/>
      <c r="AM2" s="158"/>
      <c r="AN2" s="158"/>
      <c r="AO2" s="158"/>
      <c r="AP2" s="159"/>
    </row>
    <row r="3" spans="1:44" ht="13.5" customHeight="1">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9"/>
    </row>
    <row r="4" spans="1:44">
      <c r="AF4" s="719" t="str">
        <f>IF(外注付託依頼書!$I$98&lt;&gt;"",外注付託依頼書!$I$98,"")</f>
        <v/>
      </c>
      <c r="AG4" s="719"/>
      <c r="AH4" s="719"/>
      <c r="AI4" s="719"/>
      <c r="AJ4" s="719"/>
      <c r="AK4" s="719"/>
      <c r="AL4" s="719"/>
      <c r="AM4" s="719"/>
      <c r="AN4" s="719"/>
      <c r="AO4" s="719"/>
      <c r="AP4" s="719"/>
      <c r="AQ4" s="719"/>
    </row>
    <row r="5" spans="1:44">
      <c r="A5" s="160" t="s">
        <v>363</v>
      </c>
      <c r="AF5" s="716" t="str">
        <f>IF(外注付託依頼書!$AG$3&lt;&gt;"","注文No:"&amp;外注付託依頼書!$AG$3,"")</f>
        <v>注文No:JA1600301</v>
      </c>
      <c r="AG5" s="716"/>
      <c r="AH5" s="716"/>
      <c r="AI5" s="716"/>
      <c r="AJ5" s="716"/>
      <c r="AK5" s="716"/>
      <c r="AL5" s="716"/>
      <c r="AM5" s="716"/>
      <c r="AN5" s="716"/>
      <c r="AO5" s="716"/>
      <c r="AP5" s="716"/>
      <c r="AQ5" s="716"/>
    </row>
    <row r="6" spans="1:44">
      <c r="A6" s="739" t="str">
        <f>IF(外注付託依頼書!$BG$9&lt;&gt;"",外注付託依頼書!$BG$9,"")</f>
        <v/>
      </c>
      <c r="B6" s="739"/>
      <c r="C6" s="739"/>
      <c r="D6" s="739"/>
      <c r="E6" s="739"/>
      <c r="F6" s="739"/>
    </row>
    <row r="7" spans="1:44">
      <c r="B7" s="160" t="str">
        <f>IF(外注付託依頼書!$BG$10&lt;&gt;"",外注付託依頼書!$BG$10,"")</f>
        <v/>
      </c>
      <c r="AE7" s="160" t="s">
        <v>364</v>
      </c>
    </row>
    <row r="8" spans="1:44">
      <c r="A8" s="160" t="str">
        <f>IF(ContractorName&lt;&gt;"",ContractorName,"")</f>
        <v>有限責任事業組合インフラ・アセット・エンジニアリング</v>
      </c>
      <c r="AB8" s="163"/>
      <c r="AE8" s="211">
        <f>外注付託依頼書!AQ53</f>
        <v>0</v>
      </c>
      <c r="AF8" s="210"/>
      <c r="AI8" s="210"/>
      <c r="AJ8" s="210"/>
      <c r="AK8" s="210"/>
      <c r="AL8" s="210"/>
      <c r="AM8" s="210"/>
      <c r="AN8" s="210"/>
    </row>
    <row r="9" spans="1:44" ht="14.25">
      <c r="R9" s="716" t="s">
        <v>365</v>
      </c>
      <c r="S9" s="716"/>
      <c r="T9" s="716"/>
      <c r="AE9" s="211">
        <f>外注付託依頼書!AQ54</f>
        <v>0</v>
      </c>
      <c r="AF9" s="198"/>
      <c r="AI9" s="198"/>
      <c r="AJ9" s="198"/>
      <c r="AK9" s="198"/>
      <c r="AL9" s="198"/>
      <c r="AM9" s="198"/>
      <c r="AN9" s="198"/>
    </row>
    <row r="10" spans="1:44" ht="14.25">
      <c r="C10" s="716" t="str">
        <f>IF(外注付託依頼書!G28&lt;&gt;"","（"&amp;外注付託依頼書!G28&amp;")","")</f>
        <v/>
      </c>
      <c r="D10" s="716"/>
      <c r="E10" s="716"/>
      <c r="F10" s="716"/>
      <c r="G10" s="716"/>
      <c r="H10" s="716"/>
      <c r="I10" s="716"/>
      <c r="AE10" s="211">
        <f>外注付託依頼書!AQ49</f>
        <v>0</v>
      </c>
      <c r="AF10" s="198"/>
      <c r="AI10" s="198"/>
      <c r="AJ10" s="198"/>
      <c r="AK10" s="198"/>
      <c r="AL10" s="198"/>
      <c r="AM10" s="198"/>
      <c r="AN10" s="198"/>
    </row>
    <row r="11" spans="1:44" ht="14.25">
      <c r="AE11" s="211">
        <f>外注付託依頼書!AQ50</f>
        <v>0</v>
      </c>
      <c r="AF11" s="198"/>
      <c r="AI11" s="198"/>
      <c r="AJ11" s="198"/>
      <c r="AK11" s="198"/>
      <c r="AL11" s="198"/>
      <c r="AM11" s="198"/>
      <c r="AN11" s="198"/>
    </row>
    <row r="12" spans="1:44">
      <c r="AE12" s="192" t="str">
        <f>外注付託依頼書!AQ51 &amp; "  " &amp; 外注付託依頼書!AQ52</f>
        <v xml:space="preserve">  </v>
      </c>
      <c r="AF12" s="192"/>
      <c r="AI12" s="192"/>
      <c r="AJ12" s="192"/>
      <c r="AK12" s="192"/>
      <c r="AL12" s="192"/>
      <c r="AM12" s="192"/>
      <c r="AN12" s="192"/>
    </row>
    <row r="14" spans="1:44">
      <c r="B14" s="163" t="s">
        <v>709</v>
      </c>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N14" s="163"/>
      <c r="AO14" s="163"/>
      <c r="AP14" s="163"/>
      <c r="AQ14" s="163"/>
      <c r="AR14" s="163"/>
    </row>
    <row r="15" spans="1:44">
      <c r="B15" s="163" t="s">
        <v>710</v>
      </c>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row>
    <row r="17" spans="1:45">
      <c r="A17" s="716" t="s">
        <v>182</v>
      </c>
      <c r="B17" s="716"/>
      <c r="C17" s="716"/>
      <c r="D17" s="716"/>
      <c r="E17" s="716"/>
      <c r="F17" s="716"/>
      <c r="G17" s="716"/>
      <c r="H17" s="716"/>
      <c r="I17" s="716"/>
      <c r="J17" s="716"/>
      <c r="K17" s="716"/>
      <c r="L17" s="716"/>
      <c r="M17" s="716"/>
      <c r="N17" s="716"/>
      <c r="O17" s="716"/>
      <c r="P17" s="716"/>
      <c r="Q17" s="716"/>
      <c r="R17" s="716"/>
      <c r="S17" s="716"/>
      <c r="T17" s="716"/>
      <c r="U17" s="716"/>
      <c r="V17" s="716"/>
      <c r="W17" s="716"/>
      <c r="X17" s="716"/>
      <c r="Y17" s="716"/>
      <c r="Z17" s="716"/>
      <c r="AA17" s="716"/>
      <c r="AB17" s="716"/>
      <c r="AC17" s="716"/>
      <c r="AD17" s="716"/>
      <c r="AE17" s="716"/>
      <c r="AF17" s="716"/>
      <c r="AG17" s="716"/>
      <c r="AH17" s="716"/>
      <c r="AI17" s="716"/>
      <c r="AJ17" s="716"/>
      <c r="AK17" s="716"/>
      <c r="AL17" s="716"/>
      <c r="AM17" s="716"/>
      <c r="AN17" s="716"/>
      <c r="AO17" s="716"/>
      <c r="AP17" s="716"/>
      <c r="AQ17" s="716"/>
      <c r="AR17" s="716"/>
      <c r="AS17" s="716"/>
    </row>
    <row r="18" spans="1:45">
      <c r="A18" s="162"/>
      <c r="B18" s="162"/>
      <c r="C18" s="162"/>
      <c r="D18" s="162"/>
      <c r="E18" s="162"/>
      <c r="F18" s="162"/>
      <c r="G18" s="162"/>
      <c r="H18" s="162"/>
      <c r="I18" s="162"/>
      <c r="J18" s="162"/>
      <c r="K18" s="162"/>
      <c r="L18" s="162"/>
      <c r="M18" s="162"/>
      <c r="N18" s="162"/>
      <c r="O18" s="162"/>
      <c r="P18" s="162"/>
      <c r="Q18" s="162"/>
      <c r="R18" s="162"/>
      <c r="S18" s="162"/>
      <c r="T18" s="162"/>
      <c r="U18" s="162"/>
      <c r="V18" s="162"/>
      <c r="W18" s="162"/>
      <c r="X18" s="162"/>
      <c r="Y18" s="162"/>
      <c r="Z18" s="162"/>
      <c r="AA18" s="162"/>
      <c r="AB18" s="162"/>
      <c r="AC18" s="162"/>
      <c r="AD18" s="162"/>
      <c r="AE18" s="162"/>
      <c r="AF18" s="162"/>
      <c r="AG18" s="162"/>
      <c r="AH18" s="162"/>
      <c r="AI18" s="162"/>
      <c r="AJ18" s="162"/>
      <c r="AK18" s="162"/>
      <c r="AL18" s="162"/>
      <c r="AM18" s="162"/>
      <c r="AN18" s="162"/>
      <c r="AO18" s="162"/>
      <c r="AP18" s="162"/>
      <c r="AQ18" s="162"/>
      <c r="AR18" s="162"/>
      <c r="AS18" s="162"/>
    </row>
    <row r="19" spans="1:45">
      <c r="A19" s="192" t="str">
        <f>IF(ContractStyle="国内法人","１．業務担当予定者氏名(丙)　：","１．業務担当予定者氏名　：")</f>
        <v>１．業務担当予定者氏名　：</v>
      </c>
      <c r="L19" s="160" t="str">
        <f>IF(DispatchPersonName&lt;&gt;"",DispatchPersonName,"")</f>
        <v>田中　健治</v>
      </c>
    </row>
    <row r="20" spans="1:45">
      <c r="B20" s="160" t="str">
        <f>IF(外注付託依頼書!$G$28&lt;&gt;"","（"&amp; RIGHT(外注付託依頼書!$G$28,5) &amp;"）","")</f>
        <v/>
      </c>
    </row>
    <row r="21" spans="1:45">
      <c r="A21" s="160" t="s">
        <v>711</v>
      </c>
      <c r="F21" s="160" t="str">
        <f>IF(WorkSubjectNameJ&lt;&gt;"",WorkSubjectNameJ,"")</f>
        <v>ベトナム国ハノイ環状3号線整備事業（マイジックｰ南タンロン区間）</v>
      </c>
    </row>
    <row r="22" spans="1:45">
      <c r="B22" s="160" t="str">
        <f>IF([0]!WorkSubjectCode&lt;&gt;"","（"&amp;[0]!WorkSubjectCode&amp;"）","")</f>
        <v>（JA15R1003）</v>
      </c>
    </row>
    <row r="23" spans="1:45">
      <c r="A23" s="160" t="s">
        <v>633</v>
      </c>
      <c r="H23" s="160" t="str">
        <f>IF(担当業務&lt;&gt;"",CONCATENATE(担当業務,"（業務内容は業務内容通知書の通り）"),"")</f>
        <v>Cost Estimator（業務内容は業務内容通知書の通り）</v>
      </c>
    </row>
    <row r="24" spans="1:45">
      <c r="H24" s="192"/>
    </row>
    <row r="25" spans="1:45">
      <c r="A25" s="160" t="s">
        <v>634</v>
      </c>
    </row>
    <row r="26" spans="1:45">
      <c r="A26" s="164"/>
      <c r="B26" s="164"/>
      <c r="C26" s="164"/>
      <c r="D26" s="164"/>
      <c r="E26" s="164"/>
      <c r="F26" s="719" t="s">
        <v>131</v>
      </c>
      <c r="G26" s="719"/>
      <c r="H26" s="719"/>
      <c r="I26" s="719"/>
      <c r="J26" s="719"/>
      <c r="K26" s="719"/>
      <c r="L26" s="719"/>
      <c r="M26" s="719"/>
      <c r="N26" s="719" t="s">
        <v>132</v>
      </c>
      <c r="O26" s="719"/>
      <c r="P26" s="719"/>
      <c r="Q26" s="719"/>
      <c r="R26" s="719"/>
      <c r="S26" s="719"/>
      <c r="T26" s="719"/>
      <c r="U26" s="719"/>
      <c r="V26" s="719"/>
      <c r="W26" s="719"/>
      <c r="X26" s="719"/>
      <c r="Y26" s="719"/>
      <c r="Z26" s="719"/>
      <c r="AA26" s="719"/>
      <c r="AB26" s="719"/>
      <c r="AC26" s="719"/>
      <c r="AD26" s="719"/>
      <c r="AE26" s="719"/>
      <c r="AF26" s="719" t="s">
        <v>216</v>
      </c>
      <c r="AG26" s="719"/>
      <c r="AH26" s="719"/>
      <c r="AI26" s="719"/>
      <c r="AJ26" s="719"/>
      <c r="AK26" s="719"/>
      <c r="AL26" s="719"/>
      <c r="AM26" s="165"/>
      <c r="AN26" s="165"/>
      <c r="AO26" s="165"/>
      <c r="AP26" s="166"/>
      <c r="AQ26" s="166"/>
      <c r="AR26" s="166"/>
    </row>
    <row r="27" spans="1:45">
      <c r="A27" s="164"/>
      <c r="B27" s="164"/>
      <c r="C27" s="164"/>
      <c r="D27" s="164"/>
      <c r="E27" s="164"/>
      <c r="F27" s="719" t="str">
        <f>IF(外注付託依頼書!D42&lt;&gt;"",外注付託依頼書!D42,"")</f>
        <v>国外</v>
      </c>
      <c r="G27" s="719"/>
      <c r="H27" s="719"/>
      <c r="I27" s="719"/>
      <c r="J27" s="719"/>
      <c r="K27" s="719"/>
      <c r="L27" s="719"/>
      <c r="M27" s="719"/>
      <c r="N27" s="719">
        <f>IF(外注付託依頼書!F42&lt;&gt;"",外注付託依頼書!F42,"")</f>
        <v>42324</v>
      </c>
      <c r="O27" s="719"/>
      <c r="P27" s="719"/>
      <c r="Q27" s="719"/>
      <c r="R27" s="719"/>
      <c r="S27" s="719"/>
      <c r="T27" s="719"/>
      <c r="U27" s="719"/>
      <c r="V27" s="738" t="s">
        <v>366</v>
      </c>
      <c r="W27" s="738"/>
      <c r="X27" s="717">
        <f>IF(外注付託依頼書!L42&lt;&gt;"",外注付託依頼書!L42,"")</f>
        <v>42352</v>
      </c>
      <c r="Y27" s="717"/>
      <c r="Z27" s="717"/>
      <c r="AA27" s="717"/>
      <c r="AB27" s="717"/>
      <c r="AC27" s="717"/>
      <c r="AD27" s="717"/>
      <c r="AE27" s="717"/>
      <c r="AF27" s="168" t="s">
        <v>367</v>
      </c>
      <c r="AG27" s="730">
        <f>IF(外注付託依頼書!R42,外注付託依頼書!R42,"")</f>
        <v>0.97</v>
      </c>
      <c r="AH27" s="730"/>
      <c r="AI27" s="730"/>
      <c r="AJ27" s="730"/>
      <c r="AK27" s="730"/>
      <c r="AL27" s="169" t="s">
        <v>368</v>
      </c>
      <c r="AM27" s="165"/>
      <c r="AN27" s="165"/>
      <c r="AO27" s="165"/>
      <c r="AP27" s="166"/>
      <c r="AQ27" s="166"/>
      <c r="AR27" s="166"/>
    </row>
    <row r="28" spans="1:45">
      <c r="A28" s="164"/>
      <c r="B28" s="164"/>
      <c r="C28" s="164"/>
      <c r="D28" s="164"/>
      <c r="E28" s="164"/>
      <c r="F28" s="719" t="str">
        <f>IF(外注付託依頼書!D43&lt;&gt;"",外注付託依頼書!D43,"")</f>
        <v>国外</v>
      </c>
      <c r="G28" s="719"/>
      <c r="H28" s="719"/>
      <c r="I28" s="719"/>
      <c r="J28" s="719"/>
      <c r="K28" s="719"/>
      <c r="L28" s="719"/>
      <c r="M28" s="719"/>
      <c r="N28" s="719">
        <f>IF(外注付託依頼書!F43&lt;&gt;"",外注付託依頼書!F43,"")</f>
        <v>42358</v>
      </c>
      <c r="O28" s="719"/>
      <c r="P28" s="719"/>
      <c r="Q28" s="719"/>
      <c r="R28" s="719"/>
      <c r="S28" s="719"/>
      <c r="T28" s="719"/>
      <c r="U28" s="719"/>
      <c r="V28" s="718" t="s">
        <v>366</v>
      </c>
      <c r="W28" s="718"/>
      <c r="X28" s="717">
        <f>IF(外注付託依頼書!L43&lt;&gt;"",外注付託依頼書!L43,"")</f>
        <v>42396</v>
      </c>
      <c r="Y28" s="717"/>
      <c r="Z28" s="717"/>
      <c r="AA28" s="717"/>
      <c r="AB28" s="717"/>
      <c r="AC28" s="717"/>
      <c r="AD28" s="717"/>
      <c r="AE28" s="717"/>
      <c r="AF28" s="171" t="s">
        <v>367</v>
      </c>
      <c r="AG28" s="730">
        <f>IF(外注付託依頼書!R43,外注付託依頼書!R43,"")</f>
        <v>1.3</v>
      </c>
      <c r="AH28" s="730"/>
      <c r="AI28" s="730"/>
      <c r="AJ28" s="730"/>
      <c r="AK28" s="730"/>
      <c r="AL28" s="172" t="s">
        <v>368</v>
      </c>
      <c r="AM28" s="165"/>
      <c r="AN28" s="165"/>
      <c r="AO28" s="165"/>
      <c r="AP28" s="166"/>
      <c r="AQ28" s="166"/>
      <c r="AR28" s="166"/>
    </row>
    <row r="29" spans="1:45">
      <c r="A29" s="164"/>
      <c r="B29" s="164"/>
      <c r="C29" s="164"/>
      <c r="D29" s="164"/>
      <c r="E29" s="164"/>
      <c r="F29" s="719" t="str">
        <f>IF(外注付託依頼書!D44&lt;&gt;"",外注付託依頼書!D44,"")</f>
        <v>国外</v>
      </c>
      <c r="G29" s="719"/>
      <c r="H29" s="719"/>
      <c r="I29" s="719"/>
      <c r="J29" s="719"/>
      <c r="K29" s="719"/>
      <c r="L29" s="719"/>
      <c r="M29" s="719"/>
      <c r="N29" s="719">
        <f>IF(外注付託依頼書!F44&lt;&gt;"",外注付託依頼書!F44,"")</f>
        <v>42428</v>
      </c>
      <c r="O29" s="719"/>
      <c r="P29" s="719"/>
      <c r="Q29" s="719"/>
      <c r="R29" s="719"/>
      <c r="S29" s="719"/>
      <c r="T29" s="719"/>
      <c r="U29" s="719"/>
      <c r="V29" s="718" t="s">
        <v>366</v>
      </c>
      <c r="W29" s="718"/>
      <c r="X29" s="717">
        <f>IF(外注付託依頼書!L44&lt;&gt;"",外注付託依頼書!L44,"")</f>
        <v>42449</v>
      </c>
      <c r="Y29" s="717"/>
      <c r="Z29" s="717"/>
      <c r="AA29" s="717"/>
      <c r="AB29" s="717"/>
      <c r="AC29" s="717"/>
      <c r="AD29" s="717"/>
      <c r="AE29" s="717"/>
      <c r="AF29" s="171" t="s">
        <v>367</v>
      </c>
      <c r="AG29" s="730">
        <f>IF(外注付託依頼書!R44,外注付託依頼書!R44,"")</f>
        <v>0.73</v>
      </c>
      <c r="AH29" s="730"/>
      <c r="AI29" s="730"/>
      <c r="AJ29" s="730"/>
      <c r="AK29" s="730"/>
      <c r="AL29" s="172" t="s">
        <v>368</v>
      </c>
      <c r="AM29" s="165"/>
      <c r="AN29" s="165"/>
      <c r="AO29" s="165"/>
      <c r="AP29" s="166"/>
      <c r="AQ29" s="166"/>
      <c r="AR29" s="166"/>
    </row>
    <row r="30" spans="1:45">
      <c r="A30" s="164"/>
      <c r="B30" s="164"/>
      <c r="C30" s="164"/>
      <c r="D30" s="164"/>
      <c r="E30" s="164"/>
      <c r="F30" s="719" t="str">
        <f>IF(外注付託依頼書!D45&lt;&gt;"",外注付託依頼書!D45,"")</f>
        <v>国外</v>
      </c>
      <c r="G30" s="719"/>
      <c r="H30" s="719"/>
      <c r="I30" s="719"/>
      <c r="J30" s="719"/>
      <c r="K30" s="719"/>
      <c r="L30" s="719"/>
      <c r="M30" s="719"/>
      <c r="N30" s="719">
        <f>IF(外注付託依頼書!F45&lt;&gt;"",外注付託依頼書!F45,"")</f>
        <v>42522</v>
      </c>
      <c r="O30" s="719"/>
      <c r="P30" s="719"/>
      <c r="Q30" s="719"/>
      <c r="R30" s="719"/>
      <c r="S30" s="719"/>
      <c r="T30" s="719"/>
      <c r="U30" s="719"/>
      <c r="V30" s="718" t="s">
        <v>366</v>
      </c>
      <c r="W30" s="718"/>
      <c r="X30" s="717">
        <f>IF(外注付託依頼書!L45&lt;&gt;"",外注付託依頼書!L45,"")</f>
        <v>42551</v>
      </c>
      <c r="Y30" s="717"/>
      <c r="Z30" s="717"/>
      <c r="AA30" s="717"/>
      <c r="AB30" s="717"/>
      <c r="AC30" s="717"/>
      <c r="AD30" s="717"/>
      <c r="AE30" s="717"/>
      <c r="AF30" s="171" t="s">
        <v>367</v>
      </c>
      <c r="AG30" s="730">
        <f>IF(外注付託依頼書!R45,外注付託依頼書!R45,"")</f>
        <v>1</v>
      </c>
      <c r="AH30" s="730"/>
      <c r="AI30" s="730"/>
      <c r="AJ30" s="730"/>
      <c r="AK30" s="730"/>
      <c r="AL30" s="172" t="s">
        <v>368</v>
      </c>
      <c r="AM30" s="165"/>
      <c r="AN30" s="165"/>
      <c r="AO30" s="165"/>
      <c r="AP30" s="166"/>
      <c r="AQ30" s="166"/>
      <c r="AR30" s="166"/>
    </row>
    <row r="31" spans="1:45">
      <c r="A31" s="164"/>
      <c r="B31" s="164"/>
      <c r="C31" s="164"/>
      <c r="D31" s="164"/>
      <c r="E31" s="164"/>
      <c r="F31" s="719" t="str">
        <f>IF(外注付託依頼書!D46&lt;&gt;"",外注付託依頼書!D46,"")</f>
        <v/>
      </c>
      <c r="G31" s="719"/>
      <c r="H31" s="719"/>
      <c r="I31" s="719"/>
      <c r="J31" s="719"/>
      <c r="K31" s="719"/>
      <c r="L31" s="719"/>
      <c r="M31" s="719"/>
      <c r="N31" s="719" t="str">
        <f>IF(外注付託依頼書!F46&lt;&gt;"",外注付託依頼書!F46,"")</f>
        <v/>
      </c>
      <c r="O31" s="719"/>
      <c r="P31" s="719"/>
      <c r="Q31" s="719"/>
      <c r="R31" s="719"/>
      <c r="S31" s="719"/>
      <c r="T31" s="719"/>
      <c r="U31" s="719"/>
      <c r="V31" s="718" t="s">
        <v>366</v>
      </c>
      <c r="W31" s="718"/>
      <c r="X31" s="717" t="str">
        <f>IF(外注付託依頼書!L46&lt;&gt;"",外注付託依頼書!L46,"")</f>
        <v/>
      </c>
      <c r="Y31" s="717"/>
      <c r="Z31" s="717"/>
      <c r="AA31" s="717"/>
      <c r="AB31" s="717"/>
      <c r="AC31" s="717"/>
      <c r="AD31" s="717"/>
      <c r="AE31" s="717"/>
      <c r="AF31" s="171" t="s">
        <v>367</v>
      </c>
      <c r="AG31" s="730" t="str">
        <f>IF(外注付託依頼書!R46,外注付託依頼書!R46,"")</f>
        <v/>
      </c>
      <c r="AH31" s="730"/>
      <c r="AI31" s="730"/>
      <c r="AJ31" s="730"/>
      <c r="AK31" s="730"/>
      <c r="AL31" s="172" t="s">
        <v>368</v>
      </c>
      <c r="AM31" s="165"/>
      <c r="AN31" s="165"/>
      <c r="AO31" s="165"/>
      <c r="AP31" s="166"/>
      <c r="AQ31" s="166"/>
      <c r="AR31" s="166"/>
    </row>
    <row r="32" spans="1:45">
      <c r="A32" s="164"/>
      <c r="B32" s="164"/>
      <c r="C32" s="164"/>
      <c r="D32" s="164"/>
      <c r="E32" s="164"/>
      <c r="F32" s="719" t="str">
        <f>IF(外注付託依頼書!D47&lt;&gt;"",外注付託依頼書!D47,"")</f>
        <v/>
      </c>
      <c r="G32" s="719"/>
      <c r="H32" s="719"/>
      <c r="I32" s="719"/>
      <c r="J32" s="719"/>
      <c r="K32" s="719"/>
      <c r="L32" s="719"/>
      <c r="M32" s="719"/>
      <c r="N32" s="719" t="str">
        <f>IF(外注付託依頼書!F47&lt;&gt;"",外注付託依頼書!F47,"")</f>
        <v/>
      </c>
      <c r="O32" s="719"/>
      <c r="P32" s="719"/>
      <c r="Q32" s="719"/>
      <c r="R32" s="719"/>
      <c r="S32" s="719"/>
      <c r="T32" s="719"/>
      <c r="U32" s="719"/>
      <c r="V32" s="718" t="s">
        <v>366</v>
      </c>
      <c r="W32" s="718"/>
      <c r="X32" s="717" t="str">
        <f>IF(外注付託依頼書!L47&lt;&gt;"",外注付託依頼書!L47,"")</f>
        <v/>
      </c>
      <c r="Y32" s="717"/>
      <c r="Z32" s="717"/>
      <c r="AA32" s="717"/>
      <c r="AB32" s="717"/>
      <c r="AC32" s="717"/>
      <c r="AD32" s="717"/>
      <c r="AE32" s="717"/>
      <c r="AF32" s="171" t="s">
        <v>367</v>
      </c>
      <c r="AG32" s="730" t="str">
        <f>IF(外注付託依頼書!R47,外注付託依頼書!R47,"")</f>
        <v/>
      </c>
      <c r="AH32" s="730"/>
      <c r="AI32" s="730"/>
      <c r="AJ32" s="730"/>
      <c r="AK32" s="730"/>
      <c r="AL32" s="172" t="s">
        <v>368</v>
      </c>
      <c r="AM32" s="165"/>
      <c r="AN32" s="165"/>
      <c r="AO32" s="165"/>
      <c r="AP32" s="166"/>
      <c r="AQ32" s="166"/>
      <c r="AR32" s="166"/>
    </row>
    <row r="33" spans="1:44">
      <c r="A33" s="164"/>
      <c r="B33" s="164"/>
      <c r="C33" s="164"/>
      <c r="D33" s="164"/>
      <c r="E33" s="164"/>
      <c r="F33" s="719" t="str">
        <f>IF(外注付託依頼書!D48&lt;&gt;"",外注付託依頼書!D48,"")</f>
        <v/>
      </c>
      <c r="G33" s="719"/>
      <c r="H33" s="719"/>
      <c r="I33" s="719"/>
      <c r="J33" s="719"/>
      <c r="K33" s="719"/>
      <c r="L33" s="719"/>
      <c r="M33" s="719"/>
      <c r="N33" s="719" t="str">
        <f>IF(外注付託依頼書!F48&lt;&gt;"",外注付託依頼書!F48,"")</f>
        <v/>
      </c>
      <c r="O33" s="719"/>
      <c r="P33" s="719"/>
      <c r="Q33" s="719"/>
      <c r="R33" s="719"/>
      <c r="S33" s="719"/>
      <c r="T33" s="719"/>
      <c r="U33" s="719"/>
      <c r="V33" s="718" t="s">
        <v>366</v>
      </c>
      <c r="W33" s="718"/>
      <c r="X33" s="717" t="str">
        <f>IF(外注付託依頼書!L48&lt;&gt;"",外注付託依頼書!L48,"")</f>
        <v/>
      </c>
      <c r="Y33" s="717"/>
      <c r="Z33" s="717"/>
      <c r="AA33" s="717"/>
      <c r="AB33" s="717"/>
      <c r="AC33" s="717"/>
      <c r="AD33" s="717"/>
      <c r="AE33" s="717"/>
      <c r="AF33" s="171" t="s">
        <v>367</v>
      </c>
      <c r="AG33" s="730" t="str">
        <f>IF(外注付託依頼書!R48,外注付託依頼書!R48,"")</f>
        <v/>
      </c>
      <c r="AH33" s="730"/>
      <c r="AI33" s="730"/>
      <c r="AJ33" s="730"/>
      <c r="AK33" s="730"/>
      <c r="AL33" s="172" t="s">
        <v>368</v>
      </c>
      <c r="AM33" s="165"/>
      <c r="AN33" s="165"/>
      <c r="AO33" s="165"/>
      <c r="AP33" s="166"/>
      <c r="AQ33" s="166"/>
      <c r="AR33" s="166"/>
    </row>
    <row r="34" spans="1:44">
      <c r="A34" s="164"/>
      <c r="B34" s="164"/>
      <c r="C34" s="164"/>
      <c r="D34" s="164"/>
      <c r="E34" s="164"/>
      <c r="F34" s="161"/>
      <c r="G34" s="161"/>
      <c r="H34" s="161"/>
      <c r="I34" s="161"/>
      <c r="J34" s="161"/>
      <c r="K34" s="161"/>
      <c r="L34" s="161"/>
      <c r="M34" s="161"/>
      <c r="N34" s="161"/>
      <c r="O34" s="161"/>
      <c r="P34" s="161"/>
      <c r="Q34" s="161"/>
      <c r="R34" s="161"/>
      <c r="S34" s="161"/>
      <c r="T34" s="161"/>
      <c r="U34" s="161"/>
      <c r="V34" s="170"/>
      <c r="W34" s="170"/>
      <c r="X34" s="167"/>
      <c r="Y34" s="167"/>
      <c r="Z34" s="167"/>
      <c r="AA34" s="167"/>
      <c r="AB34" s="167"/>
      <c r="AC34" s="717" t="s">
        <v>369</v>
      </c>
      <c r="AD34" s="717"/>
      <c r="AE34" s="717"/>
      <c r="AF34" s="717"/>
      <c r="AG34" s="730">
        <f>IF(外注付託依頼書!Q59&lt;&gt;0,外注付託依頼書!Q59,"")</f>
        <v>4</v>
      </c>
      <c r="AH34" s="730"/>
      <c r="AI34" s="730"/>
      <c r="AJ34" s="730"/>
      <c r="AK34" s="730"/>
      <c r="AL34" s="172"/>
      <c r="AM34" s="165"/>
      <c r="AN34" s="165"/>
      <c r="AO34" s="165"/>
      <c r="AP34" s="166"/>
      <c r="AQ34" s="166"/>
      <c r="AR34" s="166"/>
    </row>
    <row r="35" spans="1:44">
      <c r="A35" s="164"/>
      <c r="B35" s="164"/>
      <c r="C35" s="164"/>
      <c r="D35" s="164"/>
      <c r="E35" s="164"/>
      <c r="F35" s="164"/>
      <c r="G35" s="165"/>
      <c r="H35" s="165"/>
      <c r="I35" s="165"/>
      <c r="J35" s="165"/>
      <c r="K35" s="165"/>
      <c r="L35" s="165"/>
      <c r="M35" s="165"/>
      <c r="N35" s="165"/>
      <c r="O35" s="165"/>
      <c r="P35" s="165"/>
      <c r="Q35" s="165"/>
      <c r="R35" s="165"/>
      <c r="S35" s="165"/>
      <c r="T35" s="166"/>
      <c r="U35" s="166"/>
      <c r="V35" s="170"/>
      <c r="W35" s="173"/>
      <c r="X35" s="173"/>
      <c r="Y35" s="173"/>
      <c r="Z35" s="173"/>
      <c r="AA35" s="173"/>
      <c r="AB35" s="173"/>
      <c r="AC35" s="165"/>
      <c r="AD35" s="165"/>
      <c r="AE35" s="165"/>
      <c r="AF35" s="165"/>
      <c r="AG35" s="165"/>
      <c r="AH35" s="165"/>
      <c r="AI35" s="165"/>
      <c r="AJ35" s="165"/>
      <c r="AK35" s="165"/>
      <c r="AL35" s="165"/>
      <c r="AM35" s="165"/>
      <c r="AN35" s="165"/>
      <c r="AO35" s="165"/>
      <c r="AP35" s="166"/>
      <c r="AQ35" s="166"/>
      <c r="AR35" s="166"/>
    </row>
    <row r="36" spans="1:44">
      <c r="A36" s="160" t="s">
        <v>635</v>
      </c>
      <c r="H36" s="732" t="s">
        <v>45</v>
      </c>
      <c r="I36" s="732"/>
      <c r="J36" s="732"/>
      <c r="K36" s="732"/>
      <c r="L36" s="174"/>
      <c r="M36" s="175" t="s">
        <v>370</v>
      </c>
      <c r="N36" s="723">
        <f>+N37+AC37</f>
        <v>0</v>
      </c>
      <c r="O36" s="723"/>
      <c r="P36" s="723"/>
      <c r="Q36" s="723"/>
      <c r="R36" s="723"/>
      <c r="S36" s="723"/>
      <c r="T36" s="723"/>
      <c r="U36" s="176" t="s">
        <v>371</v>
      </c>
      <c r="W36" s="177"/>
      <c r="X36" s="177"/>
      <c r="Y36" s="177"/>
      <c r="Z36" s="177"/>
      <c r="AA36" s="177"/>
      <c r="AB36" s="177"/>
      <c r="AC36" s="177"/>
      <c r="AD36" s="177"/>
    </row>
    <row r="37" spans="1:44">
      <c r="E37" s="716" t="s">
        <v>372</v>
      </c>
      <c r="F37" s="716"/>
      <c r="G37" s="716"/>
      <c r="H37" s="725" t="s">
        <v>45</v>
      </c>
      <c r="I37" s="725"/>
      <c r="J37" s="725"/>
      <c r="K37" s="725"/>
      <c r="L37" s="178"/>
      <c r="M37" s="179" t="s">
        <v>370</v>
      </c>
      <c r="N37" s="721">
        <f>+AD45</f>
        <v>0</v>
      </c>
      <c r="O37" s="721"/>
      <c r="P37" s="721"/>
      <c r="Q37" s="721"/>
      <c r="R37" s="721"/>
      <c r="S37" s="721"/>
      <c r="T37" s="721"/>
      <c r="U37" s="180" t="s">
        <v>371</v>
      </c>
      <c r="W37" s="177"/>
      <c r="X37" s="732" t="s">
        <v>373</v>
      </c>
      <c r="Y37" s="732"/>
      <c r="Z37" s="732"/>
      <c r="AA37" s="732"/>
      <c r="AB37" s="174" t="s">
        <v>374</v>
      </c>
      <c r="AC37" s="723">
        <f>ROUNDDOWN(N37*外注付託依頼書!AB77,0)</f>
        <v>0</v>
      </c>
      <c r="AD37" s="723"/>
      <c r="AE37" s="723"/>
      <c r="AF37" s="723"/>
      <c r="AG37" s="723"/>
      <c r="AH37" s="723"/>
      <c r="AI37" s="176" t="s">
        <v>375</v>
      </c>
    </row>
    <row r="38" spans="1:44">
      <c r="H38" s="716" t="s">
        <v>376</v>
      </c>
      <c r="I38" s="716"/>
      <c r="J38" s="716"/>
      <c r="K38" s="716"/>
      <c r="L38" s="162"/>
      <c r="M38" s="165" t="s">
        <v>377</v>
      </c>
      <c r="N38" s="722" t="str">
        <f>IF(外注付託依頼書!$AA$28="JPY",IF(外注付託依頼書!$AB$27&lt;&gt;0,外注付託依頼書!$AB$27,""),"")</f>
        <v>単価</v>
      </c>
      <c r="O38" s="722"/>
      <c r="P38" s="722"/>
      <c r="Q38" s="722"/>
      <c r="R38" s="722"/>
      <c r="S38" s="722"/>
      <c r="T38" s="722"/>
      <c r="W38" s="177" t="s">
        <v>378</v>
      </c>
      <c r="X38" s="733" t="str">
        <f>IF(外注付託依頼書!$AA$28="JPY",IF(外注付託依頼書!$AD$27&lt;&gt;0,外注付託依頼書!$AD$27,""),"")</f>
        <v>数量</v>
      </c>
      <c r="Y38" s="727"/>
      <c r="Z38" s="727"/>
      <c r="AA38" s="727" t="str">
        <f>IF(外注付託依頼書!$AA$28="JPY",IF(外注付託依頼書!$AE$28&lt;&gt;"",外注付託依頼書!$AE$28,""),"")</f>
        <v>M/M</v>
      </c>
      <c r="AB38" s="727"/>
      <c r="AC38" s="177" t="s">
        <v>379</v>
      </c>
      <c r="AD38" s="731" t="str">
        <f>IF(外注付託依頼書!$AA$28="JPY",IF(外注付託依頼書!$AH$27&lt;&gt;0,外注付託依頼書!$AH$27,""),"")</f>
        <v/>
      </c>
      <c r="AE38" s="731"/>
      <c r="AF38" s="731"/>
      <c r="AG38" s="731"/>
      <c r="AH38" s="731"/>
      <c r="AI38" s="731"/>
    </row>
    <row r="39" spans="1:44">
      <c r="H39" s="716" t="s">
        <v>93</v>
      </c>
      <c r="I39" s="716"/>
      <c r="J39" s="716"/>
      <c r="K39" s="716"/>
      <c r="M39" s="165" t="s">
        <v>377</v>
      </c>
      <c r="N39" s="724" t="str">
        <f>IF(外注付託依頼書!$AA$36="JPY",IF(外注付託依頼書!AC31="支給しない","",IF(外注付託依頼書!AC31="J'sNAVIにて精算","",外注付託依頼書!$AB$36)),"")</f>
        <v/>
      </c>
      <c r="O39" s="724"/>
      <c r="P39" s="724"/>
      <c r="Q39" s="724"/>
      <c r="R39" s="724"/>
      <c r="S39" s="724"/>
      <c r="T39" s="724"/>
      <c r="W39" s="177" t="s">
        <v>378</v>
      </c>
      <c r="X39" s="727" t="str">
        <f>IF(外注付託依頼書!$AA$36="JPY",IF(外注付託依頼書!AC31="支給しない","",IF(外注付託依頼書!AC31="J'sNAVIにて精算","",外注付託依頼書!$AD$36)),"")</f>
        <v/>
      </c>
      <c r="Y39" s="727"/>
      <c r="Z39" s="727"/>
      <c r="AA39" s="727" t="str">
        <f>IF(外注付託依頼書!$AA$36="JPY",IF(外注付託依頼書!AC31="支給しない","",IF(外注付託依頼書!AC31="J'sNAVIにて精算","",外注付託依頼書!$AE$36)),"")</f>
        <v/>
      </c>
      <c r="AB39" s="727"/>
      <c r="AC39" s="177" t="s">
        <v>379</v>
      </c>
      <c r="AD39" s="731" t="str">
        <f>IF(外注付託依頼書!$AA$36="JPY",IF(外注付託依頼書!$AC$31="支給しない","",IF(外注付託依頼書!$AC$31="J'sNAVIにて精算","",外注付託依頼書!$AH$36)),"")</f>
        <v/>
      </c>
      <c r="AE39" s="731"/>
      <c r="AF39" s="731"/>
      <c r="AG39" s="731"/>
      <c r="AH39" s="731"/>
      <c r="AI39" s="731"/>
    </row>
    <row r="40" spans="1:44">
      <c r="H40" s="716" t="s">
        <v>99</v>
      </c>
      <c r="I40" s="716"/>
      <c r="J40" s="716"/>
      <c r="K40" s="716"/>
      <c r="M40" s="165" t="s">
        <v>377</v>
      </c>
      <c r="N40" s="724" t="str">
        <f>IF(外注付託依頼書!$AA$44="JPY",IF(外注付託依頼書!$AC$39="支給しない","",IF(外注付託依頼書!$AC$39="J'sNAVIにて精算","",外注付託依頼書!$AB$44)),"")</f>
        <v/>
      </c>
      <c r="O40" s="724"/>
      <c r="P40" s="724"/>
      <c r="Q40" s="724"/>
      <c r="R40" s="724"/>
      <c r="S40" s="724"/>
      <c r="T40" s="724"/>
      <c r="W40" s="177" t="s">
        <v>378</v>
      </c>
      <c r="X40" s="727" t="str">
        <f>IF(外注付託依頼書!$AA$44="JPY",IF(外注付託依頼書!$AC$39="支給しない","",IF(外注付託依頼書!$AC$39="J'sNAVIにて精算","",外注付託依頼書!$AD$44)),"")</f>
        <v/>
      </c>
      <c r="Y40" s="727"/>
      <c r="Z40" s="727"/>
      <c r="AA40" s="727" t="str">
        <f>IF(外注付託依頼書!$AA$44="JPY",IF(外注付託依頼書!AC39="支給しない","",IF(外注付託依頼書!AC39="J'sNAVIにて精算","",外注付託依頼書!$AE$44)),"")</f>
        <v/>
      </c>
      <c r="AB40" s="727"/>
      <c r="AC40" s="177" t="s">
        <v>379</v>
      </c>
      <c r="AD40" s="731" t="str">
        <f>IF(外注付託依頼書!$AA$44="JPY",IF(外注付託依頼書!$AC$39="支給しない","",IF(外注付託依頼書!$AC$39="J'sNAVIにて精算","",外注付託依頼書!$AH$44)),"")</f>
        <v/>
      </c>
      <c r="AE40" s="731"/>
      <c r="AF40" s="731"/>
      <c r="AG40" s="731"/>
      <c r="AH40" s="731"/>
      <c r="AI40" s="731"/>
    </row>
    <row r="41" spans="1:44">
      <c r="H41" s="716" t="s">
        <v>55</v>
      </c>
      <c r="I41" s="716"/>
      <c r="J41" s="716"/>
      <c r="K41" s="716"/>
      <c r="M41" s="165" t="s">
        <v>377</v>
      </c>
      <c r="N41" s="724"/>
      <c r="O41" s="724"/>
      <c r="P41" s="724"/>
      <c r="Q41" s="724"/>
      <c r="R41" s="724"/>
      <c r="S41" s="724"/>
      <c r="T41" s="724"/>
      <c r="W41" s="177" t="s">
        <v>378</v>
      </c>
      <c r="X41" s="727"/>
      <c r="Y41" s="727"/>
      <c r="Z41" s="727"/>
      <c r="AA41" s="727"/>
      <c r="AB41" s="727"/>
      <c r="AC41" s="177" t="s">
        <v>379</v>
      </c>
      <c r="AD41" s="731"/>
      <c r="AE41" s="731"/>
      <c r="AF41" s="731"/>
      <c r="AG41" s="731"/>
      <c r="AH41" s="731"/>
      <c r="AI41" s="731"/>
    </row>
    <row r="42" spans="1:44">
      <c r="H42" s="736" t="str">
        <f>IF(外注付託依頼書!Z59&lt;&gt;"",外注付託依頼書!Z59,"")</f>
        <v/>
      </c>
      <c r="I42" s="736"/>
      <c r="J42" s="736"/>
      <c r="K42" s="736"/>
      <c r="M42" s="165" t="s">
        <v>377</v>
      </c>
      <c r="N42" s="724" t="str">
        <f>IF(外注付託依頼書!$AA$61="JPY",IF(外注付託依頼書!Z59="","",外注付託依頼書!$AB$61),"")</f>
        <v/>
      </c>
      <c r="O42" s="724"/>
      <c r="P42" s="724"/>
      <c r="Q42" s="724"/>
      <c r="R42" s="724"/>
      <c r="S42" s="724"/>
      <c r="T42" s="724"/>
      <c r="W42" s="177" t="s">
        <v>378</v>
      </c>
      <c r="X42" s="727" t="str">
        <f>IF(外注付託依頼書!$AA$61="JPY",IF(外注付託依頼書!Z59="","",外注付託依頼書!$AD$61),"")</f>
        <v/>
      </c>
      <c r="Y42" s="727"/>
      <c r="Z42" s="727"/>
      <c r="AA42" s="727" t="str">
        <f>IF(外注付託依頼書!$AA$61="JPY",IF(外注付託依頼書!Z59="","",外注付託依頼書!$AE$61),"")</f>
        <v/>
      </c>
      <c r="AB42" s="727"/>
      <c r="AC42" s="177" t="s">
        <v>379</v>
      </c>
      <c r="AD42" s="731" t="str">
        <f>IF(外注付託依頼書!$AA$61="JPY",IF(外注付託依頼書!Z59&lt;&gt;"",外注付託依頼書!AH61,""),"")</f>
        <v/>
      </c>
      <c r="AE42" s="731"/>
      <c r="AF42" s="731"/>
      <c r="AG42" s="731"/>
      <c r="AH42" s="731"/>
      <c r="AI42" s="731"/>
    </row>
    <row r="43" spans="1:44">
      <c r="H43" s="716" t="str">
        <f>IF(外注付託依頼書!Z64&lt;&gt;"",外注付託依頼書!Z64,"")</f>
        <v/>
      </c>
      <c r="I43" s="716"/>
      <c r="J43" s="716"/>
      <c r="K43" s="716"/>
      <c r="M43" s="165" t="s">
        <v>377</v>
      </c>
      <c r="N43" s="724" t="str">
        <f>IF(外注付託依頼書!$AA$66="JPY",IF(外注付託依頼書!Z64="","",外注付託依頼書!$AB$66),"")</f>
        <v/>
      </c>
      <c r="O43" s="724"/>
      <c r="P43" s="724"/>
      <c r="Q43" s="724"/>
      <c r="R43" s="724"/>
      <c r="S43" s="724"/>
      <c r="T43" s="724"/>
      <c r="W43" s="177" t="s">
        <v>378</v>
      </c>
      <c r="X43" s="727" t="str">
        <f>IF(外注付託依頼書!$AA$66="JPY",IF(外注付託依頼書!Z64="","",外注付託依頼書!$AD$66),"")</f>
        <v/>
      </c>
      <c r="Y43" s="727"/>
      <c r="Z43" s="727"/>
      <c r="AA43" s="727" t="str">
        <f>IF(外注付託依頼書!$AA$66="JPY",IF(外注付託依頼書!Z64="","",外注付託依頼書!$AE$66),"")</f>
        <v/>
      </c>
      <c r="AB43" s="727"/>
      <c r="AC43" s="177" t="s">
        <v>379</v>
      </c>
      <c r="AD43" s="731" t="str">
        <f>IF(外注付託依頼書!$AA$66="JPY",IF(外注付託依頼書!Z64&lt;&gt;"",外注付託依頼書!$AH$66,""),"")</f>
        <v/>
      </c>
      <c r="AE43" s="731"/>
      <c r="AF43" s="731"/>
      <c r="AG43" s="731"/>
      <c r="AH43" s="731"/>
      <c r="AI43" s="731"/>
    </row>
    <row r="44" spans="1:44">
      <c r="H44" s="735" t="str">
        <f>IF(外注付託依頼書!Z69&lt;&gt;"",外注付託依頼書!Z69,"")</f>
        <v/>
      </c>
      <c r="I44" s="735"/>
      <c r="J44" s="735"/>
      <c r="K44" s="735"/>
      <c r="L44" s="183"/>
      <c r="M44" s="184" t="s">
        <v>377</v>
      </c>
      <c r="N44" s="726" t="str">
        <f>IF(外注付託依頼書!$AA$71="JPY",IF(外注付託依頼書!Z69="","",外注付託依頼書!$AB$71),"")</f>
        <v/>
      </c>
      <c r="O44" s="726"/>
      <c r="P44" s="726"/>
      <c r="Q44" s="726"/>
      <c r="R44" s="726"/>
      <c r="S44" s="726"/>
      <c r="T44" s="726"/>
      <c r="U44" s="183"/>
      <c r="V44" s="183"/>
      <c r="W44" s="183" t="s">
        <v>378</v>
      </c>
      <c r="X44" s="735" t="str">
        <f>IF(外注付託依頼書!$AA$71="JPY",IF(外注付託依頼書!Z69="","",外注付託依頼書!$AD$71),"")</f>
        <v/>
      </c>
      <c r="Y44" s="735"/>
      <c r="Z44" s="735"/>
      <c r="AA44" s="735" t="str">
        <f>IF(外注付託依頼書!$AA$71="JPY",IF(外注付託依頼書!Z69="","",外注付託依頼書!$AE$71),"")</f>
        <v/>
      </c>
      <c r="AB44" s="735"/>
      <c r="AC44" s="183" t="s">
        <v>379</v>
      </c>
      <c r="AD44" s="726" t="str">
        <f>IF(外注付託依頼書!$AA$71="JPY",IF(外注付託依頼書!Z69&lt;&gt;"",外注付託依頼書!$AH$71,""),"")</f>
        <v/>
      </c>
      <c r="AE44" s="726"/>
      <c r="AF44" s="726"/>
      <c r="AG44" s="726"/>
      <c r="AH44" s="726"/>
      <c r="AI44" s="726"/>
    </row>
    <row r="45" spans="1:44">
      <c r="W45" s="177"/>
      <c r="X45" s="177"/>
      <c r="AA45" s="716" t="s">
        <v>103</v>
      </c>
      <c r="AB45" s="716"/>
      <c r="AC45" s="716"/>
      <c r="AD45" s="724">
        <f>SUM(AD38:AI44)</f>
        <v>0</v>
      </c>
      <c r="AE45" s="720"/>
      <c r="AF45" s="720"/>
      <c r="AG45" s="720"/>
      <c r="AH45" s="720"/>
      <c r="AI45" s="720"/>
    </row>
    <row r="46" spans="1:44">
      <c r="W46" s="177"/>
      <c r="X46" s="177"/>
      <c r="AA46" s="716"/>
      <c r="AB46" s="716"/>
      <c r="AC46" s="716"/>
      <c r="AD46" s="258"/>
      <c r="AE46" s="258"/>
      <c r="AF46" s="258"/>
      <c r="AG46" s="258"/>
      <c r="AH46" s="258"/>
      <c r="AI46" s="258"/>
    </row>
    <row r="47" spans="1:44" ht="41.1" customHeight="1">
      <c r="A47" s="257" t="s">
        <v>636</v>
      </c>
      <c r="G47" s="734" t="str">
        <f>IF(摘要&lt;&gt;"",摘要,"")</f>
        <v/>
      </c>
      <c r="H47" s="734"/>
      <c r="I47" s="734"/>
      <c r="J47" s="734"/>
      <c r="K47" s="734"/>
      <c r="L47" s="734"/>
      <c r="M47" s="734"/>
      <c r="N47" s="734"/>
      <c r="O47" s="734"/>
      <c r="P47" s="734"/>
      <c r="Q47" s="734"/>
      <c r="R47" s="734"/>
      <c r="S47" s="734"/>
      <c r="T47" s="734"/>
      <c r="U47" s="734"/>
      <c r="V47" s="734"/>
      <c r="W47" s="734"/>
      <c r="X47" s="734"/>
      <c r="Y47" s="734"/>
      <c r="Z47" s="734"/>
      <c r="AA47" s="734"/>
      <c r="AB47" s="734"/>
      <c r="AC47" s="734"/>
      <c r="AD47" s="734"/>
      <c r="AE47" s="734"/>
      <c r="AF47" s="734"/>
      <c r="AG47" s="734"/>
      <c r="AH47" s="734"/>
      <c r="AI47" s="734"/>
      <c r="AJ47" s="734"/>
      <c r="AK47" s="734"/>
      <c r="AL47" s="734"/>
      <c r="AM47" s="734"/>
      <c r="AN47" s="734"/>
      <c r="AO47" s="734"/>
    </row>
    <row r="48" spans="1:44" ht="41.1" customHeight="1">
      <c r="G48" s="734"/>
      <c r="H48" s="734"/>
      <c r="I48" s="734"/>
      <c r="J48" s="734"/>
      <c r="K48" s="734"/>
      <c r="L48" s="734"/>
      <c r="M48" s="734"/>
      <c r="N48" s="734"/>
      <c r="O48" s="734"/>
      <c r="P48" s="734"/>
      <c r="Q48" s="734"/>
      <c r="R48" s="734"/>
      <c r="S48" s="734"/>
      <c r="T48" s="734"/>
      <c r="U48" s="734"/>
      <c r="V48" s="734"/>
      <c r="W48" s="734"/>
      <c r="X48" s="734"/>
      <c r="Y48" s="734"/>
      <c r="Z48" s="734"/>
      <c r="AA48" s="734"/>
      <c r="AB48" s="734"/>
      <c r="AC48" s="734"/>
      <c r="AD48" s="734"/>
      <c r="AE48" s="734"/>
      <c r="AF48" s="734"/>
      <c r="AG48" s="734"/>
      <c r="AH48" s="734"/>
      <c r="AI48" s="734"/>
      <c r="AJ48" s="734"/>
      <c r="AK48" s="734"/>
      <c r="AL48" s="734"/>
      <c r="AM48" s="734"/>
      <c r="AN48" s="734"/>
      <c r="AO48" s="734"/>
    </row>
    <row r="49" spans="1:42" ht="41.1" customHeight="1">
      <c r="G49" s="734"/>
      <c r="H49" s="734"/>
      <c r="I49" s="734"/>
      <c r="J49" s="734"/>
      <c r="K49" s="734"/>
      <c r="L49" s="734"/>
      <c r="M49" s="734"/>
      <c r="N49" s="734"/>
      <c r="O49" s="734"/>
      <c r="P49" s="734"/>
      <c r="Q49" s="734"/>
      <c r="R49" s="734"/>
      <c r="S49" s="734"/>
      <c r="T49" s="734"/>
      <c r="U49" s="734"/>
      <c r="V49" s="734"/>
      <c r="W49" s="734"/>
      <c r="X49" s="734"/>
      <c r="Y49" s="734"/>
      <c r="Z49" s="734"/>
      <c r="AA49" s="734"/>
      <c r="AB49" s="734"/>
      <c r="AC49" s="734"/>
      <c r="AD49" s="734"/>
      <c r="AE49" s="734"/>
      <c r="AF49" s="734"/>
      <c r="AG49" s="734"/>
      <c r="AH49" s="734"/>
      <c r="AI49" s="734"/>
      <c r="AJ49" s="734"/>
      <c r="AK49" s="734"/>
      <c r="AL49" s="734"/>
      <c r="AM49" s="734"/>
      <c r="AN49" s="734"/>
      <c r="AO49" s="734"/>
    </row>
    <row r="50" spans="1:42" ht="41.1" customHeight="1">
      <c r="G50" s="734"/>
      <c r="H50" s="734"/>
      <c r="I50" s="734"/>
      <c r="J50" s="734"/>
      <c r="K50" s="734"/>
      <c r="L50" s="734"/>
      <c r="M50" s="734"/>
      <c r="N50" s="734"/>
      <c r="O50" s="734"/>
      <c r="P50" s="734"/>
      <c r="Q50" s="734"/>
      <c r="R50" s="734"/>
      <c r="S50" s="734"/>
      <c r="T50" s="734"/>
      <c r="U50" s="734"/>
      <c r="V50" s="734"/>
      <c r="W50" s="734"/>
      <c r="X50" s="734"/>
      <c r="Y50" s="734"/>
      <c r="Z50" s="734"/>
      <c r="AA50" s="734"/>
      <c r="AB50" s="734"/>
      <c r="AC50" s="734"/>
      <c r="AD50" s="734"/>
      <c r="AE50" s="734"/>
      <c r="AF50" s="734"/>
      <c r="AG50" s="734"/>
      <c r="AH50" s="734"/>
      <c r="AI50" s="734"/>
      <c r="AJ50" s="734"/>
      <c r="AK50" s="734"/>
      <c r="AL50" s="734"/>
      <c r="AM50" s="734"/>
      <c r="AN50" s="734"/>
      <c r="AO50" s="734"/>
    </row>
    <row r="52" spans="1:42">
      <c r="A52" s="160" t="s">
        <v>712</v>
      </c>
    </row>
    <row r="54" spans="1:42" hidden="1"/>
    <row r="55" spans="1:42" hidden="1"/>
    <row r="56" spans="1:42">
      <c r="A56" s="160" t="s">
        <v>637</v>
      </c>
      <c r="G56" s="160" t="s">
        <v>380</v>
      </c>
    </row>
    <row r="57" spans="1:42">
      <c r="G57" s="160" t="s">
        <v>381</v>
      </c>
    </row>
    <row r="58" spans="1:42">
      <c r="I58" s="716" t="s">
        <v>382</v>
      </c>
      <c r="J58" s="716"/>
      <c r="K58" s="716"/>
      <c r="L58" s="716"/>
      <c r="M58" s="716"/>
      <c r="N58" s="716"/>
      <c r="O58" s="162" t="s">
        <v>383</v>
      </c>
      <c r="P58" s="728" t="str">
        <f>IF(外注付託依頼書!$G$28&lt;&gt;"",外注付託依頼書!$G$28,"")</f>
        <v/>
      </c>
      <c r="Q58" s="728"/>
      <c r="R58" s="728"/>
      <c r="S58" s="728"/>
      <c r="T58" s="728"/>
      <c r="U58" s="728"/>
      <c r="V58" s="728"/>
      <c r="W58" s="728"/>
      <c r="X58" s="728"/>
      <c r="Y58" s="728"/>
    </row>
    <row r="59" spans="1:42">
      <c r="I59" s="716" t="s">
        <v>82</v>
      </c>
      <c r="J59" s="716"/>
      <c r="K59" s="716"/>
      <c r="L59" s="716"/>
      <c r="M59" s="716"/>
      <c r="N59" s="716"/>
      <c r="O59" s="162" t="s">
        <v>384</v>
      </c>
      <c r="P59" s="729" t="str">
        <f>IF(WorkSubjectCode&lt;&gt;"",WorkSubjectCode,"")</f>
        <v>JA15R1003</v>
      </c>
      <c r="Q59" s="729"/>
      <c r="R59" s="729"/>
      <c r="S59" s="729"/>
      <c r="T59" s="729"/>
      <c r="U59" s="729"/>
      <c r="V59" s="729"/>
      <c r="W59" s="729"/>
      <c r="X59" s="729"/>
      <c r="Y59" s="729"/>
    </row>
    <row r="60" spans="1:42">
      <c r="I60" s="716" t="s">
        <v>385</v>
      </c>
      <c r="J60" s="716"/>
      <c r="K60" s="716"/>
      <c r="L60" s="716"/>
      <c r="M60" s="716"/>
      <c r="N60" s="716"/>
      <c r="O60" s="162" t="s">
        <v>386</v>
      </c>
      <c r="P60" s="729" t="str">
        <f>IF(外注付託依頼書!$AG$3&lt;&gt;"",外注付託依頼書!$AG$3,"")</f>
        <v>JA1600301</v>
      </c>
      <c r="Q60" s="729"/>
      <c r="R60" s="729"/>
      <c r="S60" s="729"/>
      <c r="T60" s="729"/>
      <c r="U60" s="729"/>
      <c r="V60" s="729"/>
      <c r="W60" s="729"/>
      <c r="X60" s="729"/>
      <c r="Y60" s="729"/>
    </row>
    <row r="61" spans="1:42">
      <c r="AG61" s="720" t="s">
        <v>387</v>
      </c>
      <c r="AH61" s="720"/>
      <c r="AI61" s="720"/>
      <c r="AJ61" s="720"/>
      <c r="AK61" s="720"/>
      <c r="AL61" s="720"/>
      <c r="AM61" s="720"/>
      <c r="AN61" s="720"/>
      <c r="AO61" s="720"/>
      <c r="AP61" s="720"/>
    </row>
    <row r="62" spans="1:42">
      <c r="C62" s="160" t="str">
        <f>IF(依頼所属名&lt;&gt;"","写）　"&amp;依頼所属名&amp;"　　　　　⇒　Project　Office","")</f>
        <v>写）　道路・橋梁部　　　　　⇒　Project　Office</v>
      </c>
      <c r="AG62" s="720" t="str">
        <f>IF(外注付託依頼書!$AG$3&lt;&gt;"","注文ＮＯ："&amp;外注付託依頼書!$AG$3,"")</f>
        <v>注文ＮＯ：JA1600301</v>
      </c>
      <c r="AH62" s="720"/>
      <c r="AI62" s="720"/>
      <c r="AJ62" s="720"/>
      <c r="AK62" s="720"/>
      <c r="AL62" s="720"/>
      <c r="AM62" s="720"/>
      <c r="AN62" s="720"/>
      <c r="AO62" s="720"/>
      <c r="AP62" s="720"/>
    </row>
  </sheetData>
  <mergeCells count="101">
    <mergeCell ref="I1:AJ2"/>
    <mergeCell ref="AG31:AK31"/>
    <mergeCell ref="AG28:AK28"/>
    <mergeCell ref="N29:U29"/>
    <mergeCell ref="AG27:AK27"/>
    <mergeCell ref="AG29:AK29"/>
    <mergeCell ref="V27:W27"/>
    <mergeCell ref="AF5:AQ5"/>
    <mergeCell ref="AF4:AQ4"/>
    <mergeCell ref="A17:AS17"/>
    <mergeCell ref="F29:M29"/>
    <mergeCell ref="F26:M26"/>
    <mergeCell ref="F27:M27"/>
    <mergeCell ref="F31:M31"/>
    <mergeCell ref="N31:U31"/>
    <mergeCell ref="N26:AE26"/>
    <mergeCell ref="X31:AE31"/>
    <mergeCell ref="V31:W31"/>
    <mergeCell ref="N27:U27"/>
    <mergeCell ref="N28:U28"/>
    <mergeCell ref="AG30:AK30"/>
    <mergeCell ref="A6:F6"/>
    <mergeCell ref="AF26:AL26"/>
    <mergeCell ref="X27:AE27"/>
    <mergeCell ref="I59:N59"/>
    <mergeCell ref="AG33:AK33"/>
    <mergeCell ref="X32:AE32"/>
    <mergeCell ref="H42:K42"/>
    <mergeCell ref="N43:T43"/>
    <mergeCell ref="N44:T44"/>
    <mergeCell ref="AA39:AB39"/>
    <mergeCell ref="N42:T42"/>
    <mergeCell ref="H44:K44"/>
    <mergeCell ref="AC34:AF34"/>
    <mergeCell ref="AD40:AI40"/>
    <mergeCell ref="H36:K36"/>
    <mergeCell ref="F33:M33"/>
    <mergeCell ref="N33:U33"/>
    <mergeCell ref="V32:W32"/>
    <mergeCell ref="V33:W33"/>
    <mergeCell ref="F32:M32"/>
    <mergeCell ref="N32:U32"/>
    <mergeCell ref="AG62:AP62"/>
    <mergeCell ref="AG32:AK32"/>
    <mergeCell ref="AG34:AK34"/>
    <mergeCell ref="AD41:AI41"/>
    <mergeCell ref="AD42:AI42"/>
    <mergeCell ref="AD43:AI43"/>
    <mergeCell ref="X33:AE33"/>
    <mergeCell ref="AD39:AI39"/>
    <mergeCell ref="X39:Z39"/>
    <mergeCell ref="AD38:AI38"/>
    <mergeCell ref="AA42:AB42"/>
    <mergeCell ref="X42:Z42"/>
    <mergeCell ref="X37:AA37"/>
    <mergeCell ref="X38:Z38"/>
    <mergeCell ref="AA38:AB38"/>
    <mergeCell ref="G47:AO50"/>
    <mergeCell ref="X43:Z43"/>
    <mergeCell ref="AA43:AB43"/>
    <mergeCell ref="AD45:AI45"/>
    <mergeCell ref="AA45:AC45"/>
    <mergeCell ref="AA46:AC46"/>
    <mergeCell ref="H43:K43"/>
    <mergeCell ref="X44:Z44"/>
    <mergeCell ref="AA44:AB44"/>
    <mergeCell ref="AG61:AP61"/>
    <mergeCell ref="H38:K38"/>
    <mergeCell ref="N37:T37"/>
    <mergeCell ref="N38:T38"/>
    <mergeCell ref="AC37:AH37"/>
    <mergeCell ref="N36:T36"/>
    <mergeCell ref="H39:K39"/>
    <mergeCell ref="N39:T39"/>
    <mergeCell ref="E37:G37"/>
    <mergeCell ref="H37:K37"/>
    <mergeCell ref="AD44:AI44"/>
    <mergeCell ref="AA40:AB40"/>
    <mergeCell ref="H41:K41"/>
    <mergeCell ref="N41:T41"/>
    <mergeCell ref="X41:Z41"/>
    <mergeCell ref="AA41:AB41"/>
    <mergeCell ref="H40:K40"/>
    <mergeCell ref="N40:T40"/>
    <mergeCell ref="X40:Z40"/>
    <mergeCell ref="I60:N60"/>
    <mergeCell ref="P58:Y58"/>
    <mergeCell ref="P59:Y59"/>
    <mergeCell ref="P60:Y60"/>
    <mergeCell ref="I58:N58"/>
    <mergeCell ref="C10:I10"/>
    <mergeCell ref="R9:T9"/>
    <mergeCell ref="X29:AE29"/>
    <mergeCell ref="V30:W30"/>
    <mergeCell ref="X28:AE28"/>
    <mergeCell ref="F28:M28"/>
    <mergeCell ref="V28:W28"/>
    <mergeCell ref="X30:AE30"/>
    <mergeCell ref="F30:M30"/>
    <mergeCell ref="N30:U30"/>
    <mergeCell ref="V29:W29"/>
  </mergeCells>
  <phoneticPr fontId="2"/>
  <pageMargins left="0.39370078740157483" right="0.19685039370078741" top="0.55118110236220474" bottom="0.59055118110236227" header="0.31496062992125984" footer="0.51181102362204722"/>
  <pageSetup paperSize="9" scale="97" orientation="portrait"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sheetPr codeName="Sheet13"/>
  <dimension ref="A1:AS62"/>
  <sheetViews>
    <sheetView showZeros="0" topLeftCell="A37" zoomScaleNormal="100" workbookViewId="0">
      <selection activeCell="F67" sqref="F67"/>
    </sheetView>
  </sheetViews>
  <sheetFormatPr defaultRowHeight="13.5"/>
  <cols>
    <col min="1" max="11" width="2.25" style="160" customWidth="1"/>
    <col min="12" max="12" width="1.25" style="160" customWidth="1"/>
    <col min="13" max="13" width="2.125" style="160" customWidth="1"/>
    <col min="14" max="18" width="2.25" style="160" customWidth="1"/>
    <col min="19" max="19" width="1.125" style="160" customWidth="1"/>
    <col min="20" max="21" width="2.25" style="160" customWidth="1"/>
    <col min="22" max="22" width="1.125" style="160" customWidth="1"/>
    <col min="23" max="33" width="2.25" style="160" customWidth="1"/>
    <col min="34" max="34" width="1.125" style="160" customWidth="1"/>
    <col min="35" max="35" width="2.25" style="160" customWidth="1"/>
    <col min="36" max="36" width="1.125" style="160" customWidth="1"/>
    <col min="37" max="42" width="2.25" style="160" customWidth="1"/>
    <col min="43" max="43" width="1.125" style="160" customWidth="1"/>
    <col min="44" max="44" width="2.25" style="160" customWidth="1"/>
    <col min="45" max="45" width="1.125" style="160" customWidth="1"/>
    <col min="46" max="87" width="2.125" style="160" customWidth="1"/>
    <col min="88" max="16384" width="9" style="160"/>
  </cols>
  <sheetData>
    <row r="1" spans="1:44" ht="13.5" customHeight="1">
      <c r="A1" s="158"/>
      <c r="B1" s="158"/>
      <c r="C1" s="158"/>
      <c r="D1" s="158"/>
      <c r="E1" s="158"/>
      <c r="F1" s="158"/>
      <c r="G1" s="158"/>
      <c r="H1" s="158"/>
      <c r="I1" s="737" t="s">
        <v>388</v>
      </c>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158"/>
      <c r="AL1" s="158"/>
      <c r="AM1" s="158"/>
      <c r="AN1" s="158"/>
      <c r="AO1" s="158"/>
      <c r="AP1" s="159"/>
    </row>
    <row r="2" spans="1:44" ht="13.5" customHeight="1">
      <c r="A2" s="158"/>
      <c r="B2" s="158"/>
      <c r="C2" s="158"/>
      <c r="D2" s="158"/>
      <c r="E2" s="158"/>
      <c r="F2" s="158"/>
      <c r="G2" s="158"/>
      <c r="H2" s="158"/>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158"/>
      <c r="AL2" s="158"/>
      <c r="AM2" s="158"/>
      <c r="AN2" s="158"/>
      <c r="AO2" s="158"/>
      <c r="AP2" s="159"/>
    </row>
    <row r="3" spans="1:44" ht="13.5" customHeight="1">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9"/>
    </row>
    <row r="4" spans="1:44">
      <c r="AF4" s="719" t="str">
        <f>IF(外注付託依頼書!$I$98&lt;&gt;"",外注付託依頼書!$I$98,"")</f>
        <v/>
      </c>
      <c r="AG4" s="719"/>
      <c r="AH4" s="719"/>
      <c r="AI4" s="719"/>
      <c r="AJ4" s="719"/>
      <c r="AK4" s="719"/>
      <c r="AL4" s="719"/>
      <c r="AM4" s="719"/>
      <c r="AN4" s="719"/>
      <c r="AO4" s="719"/>
      <c r="AP4" s="719"/>
      <c r="AQ4" s="719"/>
    </row>
    <row r="5" spans="1:44">
      <c r="AF5" s="716" t="str">
        <f>IF(外注付託依頼書!$AG$3&lt;&gt;"","注文No:"&amp;外注付託依頼書!$AG$3,"")</f>
        <v>注文No:JA1600301</v>
      </c>
      <c r="AG5" s="716"/>
      <c r="AH5" s="716"/>
      <c r="AI5" s="716"/>
      <c r="AJ5" s="716"/>
      <c r="AK5" s="716"/>
      <c r="AL5" s="716"/>
      <c r="AM5" s="716"/>
      <c r="AN5" s="716"/>
      <c r="AO5" s="716"/>
      <c r="AP5" s="716"/>
      <c r="AQ5" s="716"/>
    </row>
    <row r="6" spans="1:44">
      <c r="A6" s="729"/>
      <c r="B6" s="729"/>
      <c r="C6" s="729"/>
      <c r="D6" s="729"/>
      <c r="E6" s="729"/>
      <c r="F6" s="729"/>
    </row>
    <row r="7" spans="1:44">
      <c r="A7" s="160" t="s">
        <v>364</v>
      </c>
      <c r="AD7" s="160" t="s">
        <v>363</v>
      </c>
    </row>
    <row r="8" spans="1:44">
      <c r="A8" s="211">
        <f>外注付託依頼書!AQ53</f>
        <v>0</v>
      </c>
      <c r="B8" s="211"/>
      <c r="C8" s="211"/>
      <c r="D8" s="211"/>
      <c r="E8" s="211"/>
      <c r="F8" s="211"/>
      <c r="G8" s="211"/>
      <c r="H8" s="211"/>
      <c r="AB8" s="163"/>
      <c r="AC8" s="163"/>
      <c r="AD8" s="160" t="s">
        <v>389</v>
      </c>
      <c r="AG8" s="163"/>
      <c r="AH8" s="163"/>
      <c r="AI8" s="163"/>
      <c r="AJ8" s="163"/>
      <c r="AK8" s="163"/>
    </row>
    <row r="9" spans="1:44">
      <c r="A9" s="211">
        <f>外注付託依頼書!AQ54</f>
        <v>0</v>
      </c>
      <c r="B9" s="211"/>
      <c r="C9" s="211"/>
      <c r="D9" s="211"/>
      <c r="E9" s="211"/>
      <c r="F9" s="211"/>
      <c r="G9" s="211"/>
      <c r="H9" s="211"/>
      <c r="R9" s="716"/>
      <c r="S9" s="716"/>
      <c r="T9" s="716"/>
    </row>
    <row r="10" spans="1:44">
      <c r="A10" s="211">
        <f>外注付託依頼書!AQ49</f>
        <v>0</v>
      </c>
      <c r="B10" s="211"/>
      <c r="C10" s="211"/>
      <c r="D10" s="211"/>
      <c r="E10" s="211"/>
      <c r="F10" s="211"/>
      <c r="G10" s="211"/>
      <c r="H10" s="211"/>
      <c r="I10" s="162"/>
      <c r="AD10" s="160" t="s">
        <v>390</v>
      </c>
    </row>
    <row r="11" spans="1:44">
      <c r="A11" s="211">
        <f>外注付託依頼書!AQ50</f>
        <v>0</v>
      </c>
      <c r="B11" s="211"/>
      <c r="C11" s="211"/>
      <c r="D11" s="211"/>
      <c r="E11" s="211"/>
      <c r="F11" s="211"/>
      <c r="G11" s="211"/>
      <c r="H11" s="211"/>
    </row>
    <row r="12" spans="1:44">
      <c r="A12" s="192" t="str">
        <f>外注付託依頼書!AQ51 &amp; "  " &amp; 外注付託依頼書!AQ52</f>
        <v xml:space="preserve">  </v>
      </c>
      <c r="B12" s="192"/>
      <c r="C12" s="192"/>
      <c r="D12" s="192"/>
      <c r="E12" s="192"/>
      <c r="F12" s="192"/>
      <c r="G12" s="192"/>
      <c r="H12" s="192"/>
      <c r="R12" s="160" t="s">
        <v>619</v>
      </c>
      <c r="AF12" s="185"/>
      <c r="AG12" s="185"/>
      <c r="AH12" s="185"/>
      <c r="AI12" s="185"/>
      <c r="AJ12" s="185"/>
      <c r="AK12" s="185"/>
      <c r="AL12" s="185"/>
      <c r="AM12" s="185"/>
      <c r="AN12" s="185"/>
      <c r="AO12" s="185"/>
      <c r="AP12" s="185"/>
      <c r="AQ12" s="185"/>
      <c r="AR12" s="185"/>
    </row>
    <row r="13" spans="1:44">
      <c r="AF13" s="740" t="str">
        <f>IF(外注付託依頼書!G28&lt;&gt;"","（"&amp;外注付託依頼書!G28&amp;")","")</f>
        <v/>
      </c>
      <c r="AG13" s="740"/>
      <c r="AH13" s="740"/>
      <c r="AI13" s="740"/>
      <c r="AJ13" s="740"/>
      <c r="AK13" s="740"/>
      <c r="AL13" s="740"/>
      <c r="AM13" s="740"/>
      <c r="AN13" s="740"/>
      <c r="AO13" s="740"/>
      <c r="AP13" s="740"/>
      <c r="AQ13" s="740"/>
      <c r="AR13" s="740"/>
    </row>
    <row r="14" spans="1:44">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N14" s="163"/>
      <c r="AO14" s="163"/>
      <c r="AP14" s="163"/>
      <c r="AQ14" s="163"/>
      <c r="AR14" s="163"/>
    </row>
    <row r="15" spans="1:44">
      <c r="B15" s="163"/>
      <c r="C15" s="163" t="str">
        <f>IF(外注付託依頼書!$AG$3&lt;&gt;"","貴社注文No.("&amp;外注付託依頼書!$AG$3&amp;")を下記の条項承諾の上お請けいたします。","")</f>
        <v>貴社注文No.(JA1600301)を下記の条項承諾の上お請けいたします。</v>
      </c>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row>
    <row r="17" spans="1:45">
      <c r="A17" s="716" t="s">
        <v>182</v>
      </c>
      <c r="B17" s="716"/>
      <c r="C17" s="716"/>
      <c r="D17" s="716"/>
      <c r="E17" s="716"/>
      <c r="F17" s="716"/>
      <c r="G17" s="716"/>
      <c r="H17" s="716"/>
      <c r="I17" s="716"/>
      <c r="J17" s="716"/>
      <c r="K17" s="716"/>
      <c r="L17" s="716"/>
      <c r="M17" s="716"/>
      <c r="N17" s="716"/>
      <c r="O17" s="716"/>
      <c r="P17" s="716"/>
      <c r="Q17" s="716"/>
      <c r="R17" s="716"/>
      <c r="S17" s="716"/>
      <c r="T17" s="716"/>
      <c r="U17" s="716"/>
      <c r="V17" s="716"/>
      <c r="W17" s="716"/>
      <c r="X17" s="716"/>
      <c r="Y17" s="716"/>
      <c r="Z17" s="716"/>
      <c r="AA17" s="716"/>
      <c r="AB17" s="716"/>
      <c r="AC17" s="716"/>
      <c r="AD17" s="716"/>
      <c r="AE17" s="716"/>
      <c r="AF17" s="716"/>
      <c r="AG17" s="716"/>
      <c r="AH17" s="716"/>
      <c r="AI17" s="716"/>
      <c r="AJ17" s="716"/>
      <c r="AK17" s="716"/>
      <c r="AL17" s="716"/>
      <c r="AM17" s="716"/>
      <c r="AN17" s="716"/>
      <c r="AO17" s="716"/>
      <c r="AP17" s="716"/>
      <c r="AQ17" s="716"/>
      <c r="AR17" s="716"/>
      <c r="AS17" s="716"/>
    </row>
    <row r="18" spans="1:45">
      <c r="A18" s="162"/>
      <c r="B18" s="162"/>
      <c r="C18" s="162"/>
      <c r="D18" s="162"/>
      <c r="E18" s="162"/>
      <c r="F18" s="162"/>
      <c r="G18" s="162"/>
      <c r="H18" s="162"/>
      <c r="I18" s="162"/>
      <c r="J18" s="162"/>
      <c r="K18" s="162"/>
      <c r="L18" s="162"/>
      <c r="M18" s="162"/>
      <c r="N18" s="162"/>
      <c r="O18" s="162"/>
      <c r="P18" s="162"/>
      <c r="Q18" s="162"/>
      <c r="R18" s="162"/>
      <c r="S18" s="162"/>
      <c r="T18" s="162"/>
      <c r="U18" s="162"/>
      <c r="V18" s="162"/>
      <c r="W18" s="162"/>
      <c r="X18" s="162"/>
      <c r="Y18" s="162"/>
      <c r="Z18" s="162"/>
      <c r="AA18" s="162"/>
      <c r="AB18" s="162"/>
      <c r="AC18" s="162"/>
      <c r="AD18" s="162"/>
      <c r="AE18" s="162"/>
      <c r="AF18" s="162"/>
      <c r="AG18" s="162"/>
      <c r="AH18" s="162"/>
      <c r="AI18" s="162"/>
      <c r="AJ18" s="162"/>
      <c r="AK18" s="162"/>
      <c r="AL18" s="162"/>
      <c r="AM18" s="162"/>
      <c r="AN18" s="162"/>
      <c r="AO18" s="162"/>
      <c r="AP18" s="162"/>
      <c r="AQ18" s="162"/>
      <c r="AR18" s="162"/>
      <c r="AS18" s="162"/>
    </row>
    <row r="19" spans="1:45">
      <c r="A19" s="160" t="str">
        <f>IF(ContractStyle="国内法人","１．業務担当予定者氏名(丙)　：","１．業務担当予定者氏名　：")</f>
        <v>１．業務担当予定者氏名　：</v>
      </c>
      <c r="L19" s="160" t="str">
        <f>IF(DispatchPersonName&lt;&gt;"",DispatchPersonName,"")</f>
        <v>田中　健治</v>
      </c>
    </row>
    <row r="20" spans="1:45">
      <c r="B20" s="160" t="str">
        <f>IF(外注付託依頼書!$G$28&lt;&gt;"","（"&amp; RIGHT(外注付託依頼書!$G$28,5) &amp;"）","")</f>
        <v/>
      </c>
    </row>
    <row r="21" spans="1:45">
      <c r="A21" s="160" t="s">
        <v>711</v>
      </c>
      <c r="F21" s="160" t="str">
        <f>IF(WorkSubjectNameJ&lt;&gt;"",WorkSubjectNameJ,"")</f>
        <v>ベトナム国ハノイ環状3号線整備事業（マイジックｰ南タンロン区間）</v>
      </c>
    </row>
    <row r="22" spans="1:45">
      <c r="B22" s="160" t="str">
        <f>IF([0]!WorkSubjectCode&lt;&gt;"","（"&amp;[0]!WorkSubjectCode&amp;"）","")</f>
        <v>（JA15R1003）</v>
      </c>
    </row>
    <row r="23" spans="1:45">
      <c r="A23" s="160" t="s">
        <v>633</v>
      </c>
      <c r="H23" s="256" t="str">
        <f>IF(担当業務&lt;&gt;"",CONCATENATE(担当業務,"（業務内容は業務内容通知書の通り）"),"")</f>
        <v>Cost Estimator（業務内容は業務内容通知書の通り）</v>
      </c>
      <c r="I23" s="256"/>
      <c r="J23" s="256"/>
      <c r="K23" s="256"/>
      <c r="L23" s="256"/>
      <c r="M23" s="256"/>
      <c r="N23" s="256"/>
      <c r="O23" s="256"/>
    </row>
    <row r="25" spans="1:45">
      <c r="A25" s="160" t="s">
        <v>634</v>
      </c>
    </row>
    <row r="26" spans="1:45">
      <c r="A26" s="164"/>
      <c r="B26" s="164"/>
      <c r="C26" s="164"/>
      <c r="D26" s="164"/>
      <c r="E26" s="164"/>
      <c r="F26" s="719" t="s">
        <v>131</v>
      </c>
      <c r="G26" s="719"/>
      <c r="H26" s="719"/>
      <c r="I26" s="719"/>
      <c r="J26" s="719"/>
      <c r="K26" s="719"/>
      <c r="L26" s="719"/>
      <c r="M26" s="719"/>
      <c r="N26" s="719" t="s">
        <v>132</v>
      </c>
      <c r="O26" s="719"/>
      <c r="P26" s="719"/>
      <c r="Q26" s="719"/>
      <c r="R26" s="719"/>
      <c r="S26" s="719"/>
      <c r="T26" s="719"/>
      <c r="U26" s="719"/>
      <c r="V26" s="719"/>
      <c r="W26" s="719"/>
      <c r="X26" s="719"/>
      <c r="Y26" s="719"/>
      <c r="Z26" s="719"/>
      <c r="AA26" s="719"/>
      <c r="AB26" s="719"/>
      <c r="AC26" s="719"/>
      <c r="AD26" s="719"/>
      <c r="AE26" s="719"/>
      <c r="AF26" s="719" t="s">
        <v>216</v>
      </c>
      <c r="AG26" s="719"/>
      <c r="AH26" s="719"/>
      <c r="AI26" s="719"/>
      <c r="AJ26" s="719"/>
      <c r="AK26" s="719"/>
      <c r="AL26" s="719"/>
      <c r="AM26" s="165"/>
      <c r="AN26" s="165"/>
      <c r="AO26" s="165"/>
      <c r="AP26" s="166"/>
      <c r="AQ26" s="166"/>
      <c r="AR26" s="166"/>
    </row>
    <row r="27" spans="1:45">
      <c r="A27" s="164"/>
      <c r="B27" s="164"/>
      <c r="C27" s="164"/>
      <c r="D27" s="164"/>
      <c r="E27" s="164"/>
      <c r="F27" s="719" t="str">
        <f>IF(外注付託依頼書!D42&lt;&gt;"",外注付託依頼書!D42,"")</f>
        <v>国外</v>
      </c>
      <c r="G27" s="719"/>
      <c r="H27" s="719"/>
      <c r="I27" s="719"/>
      <c r="J27" s="719"/>
      <c r="K27" s="719"/>
      <c r="L27" s="719"/>
      <c r="M27" s="719"/>
      <c r="N27" s="719">
        <f>IF(外注付託依頼書!F42&lt;&gt;"",外注付託依頼書!F42,"")</f>
        <v>42324</v>
      </c>
      <c r="O27" s="719"/>
      <c r="P27" s="719"/>
      <c r="Q27" s="719"/>
      <c r="R27" s="719"/>
      <c r="S27" s="719"/>
      <c r="T27" s="719"/>
      <c r="U27" s="719"/>
      <c r="V27" s="738" t="s">
        <v>366</v>
      </c>
      <c r="W27" s="738"/>
      <c r="X27" s="717">
        <f>IF(外注付託依頼書!L42&lt;&gt;"",外注付託依頼書!L42,"")</f>
        <v>42352</v>
      </c>
      <c r="Y27" s="717"/>
      <c r="Z27" s="717"/>
      <c r="AA27" s="717"/>
      <c r="AB27" s="717"/>
      <c r="AC27" s="717"/>
      <c r="AD27" s="717"/>
      <c r="AE27" s="717"/>
      <c r="AF27" s="168" t="s">
        <v>367</v>
      </c>
      <c r="AG27" s="730">
        <f>IF(外注付託依頼書!R42,外注付託依頼書!R42,"")</f>
        <v>0.97</v>
      </c>
      <c r="AH27" s="730"/>
      <c r="AI27" s="730"/>
      <c r="AJ27" s="730"/>
      <c r="AK27" s="730"/>
      <c r="AL27" s="169" t="s">
        <v>368</v>
      </c>
      <c r="AM27" s="165"/>
      <c r="AN27" s="165"/>
      <c r="AO27" s="165"/>
      <c r="AP27" s="166"/>
      <c r="AQ27" s="166"/>
      <c r="AR27" s="166"/>
    </row>
    <row r="28" spans="1:45">
      <c r="A28" s="164"/>
      <c r="B28" s="164"/>
      <c r="C28" s="164"/>
      <c r="D28" s="164"/>
      <c r="E28" s="164"/>
      <c r="F28" s="719" t="str">
        <f>IF(外注付託依頼書!D43&lt;&gt;"",外注付託依頼書!D43,"")</f>
        <v>国外</v>
      </c>
      <c r="G28" s="719"/>
      <c r="H28" s="719"/>
      <c r="I28" s="719"/>
      <c r="J28" s="719"/>
      <c r="K28" s="719"/>
      <c r="L28" s="719"/>
      <c r="M28" s="719"/>
      <c r="N28" s="719">
        <f>IF(外注付託依頼書!F43&lt;&gt;"",外注付託依頼書!F43,"")</f>
        <v>42358</v>
      </c>
      <c r="O28" s="719"/>
      <c r="P28" s="719"/>
      <c r="Q28" s="719"/>
      <c r="R28" s="719"/>
      <c r="S28" s="719"/>
      <c r="T28" s="719"/>
      <c r="U28" s="719"/>
      <c r="V28" s="718" t="s">
        <v>366</v>
      </c>
      <c r="W28" s="718"/>
      <c r="X28" s="717">
        <f>IF(外注付託依頼書!L43&lt;&gt;"",外注付託依頼書!L43,"")</f>
        <v>42396</v>
      </c>
      <c r="Y28" s="717"/>
      <c r="Z28" s="717"/>
      <c r="AA28" s="717"/>
      <c r="AB28" s="717"/>
      <c r="AC28" s="717"/>
      <c r="AD28" s="717"/>
      <c r="AE28" s="717"/>
      <c r="AF28" s="171" t="s">
        <v>367</v>
      </c>
      <c r="AG28" s="730">
        <f>IF(外注付託依頼書!R43,外注付託依頼書!R43,"")</f>
        <v>1.3</v>
      </c>
      <c r="AH28" s="730"/>
      <c r="AI28" s="730"/>
      <c r="AJ28" s="730"/>
      <c r="AK28" s="730"/>
      <c r="AL28" s="172" t="s">
        <v>368</v>
      </c>
      <c r="AM28" s="165"/>
      <c r="AN28" s="165"/>
      <c r="AO28" s="165"/>
      <c r="AP28" s="166"/>
      <c r="AQ28" s="166"/>
      <c r="AR28" s="166"/>
    </row>
    <row r="29" spans="1:45">
      <c r="A29" s="164"/>
      <c r="B29" s="164"/>
      <c r="C29" s="164"/>
      <c r="D29" s="164"/>
      <c r="E29" s="164"/>
      <c r="F29" s="719" t="str">
        <f>IF(外注付託依頼書!D44&lt;&gt;"",外注付託依頼書!D44,"")</f>
        <v>国外</v>
      </c>
      <c r="G29" s="719"/>
      <c r="H29" s="719"/>
      <c r="I29" s="719"/>
      <c r="J29" s="719"/>
      <c r="K29" s="719"/>
      <c r="L29" s="719"/>
      <c r="M29" s="719"/>
      <c r="N29" s="719">
        <f>IF(外注付託依頼書!F44&lt;&gt;"",外注付託依頼書!F44,"")</f>
        <v>42428</v>
      </c>
      <c r="O29" s="719"/>
      <c r="P29" s="719"/>
      <c r="Q29" s="719"/>
      <c r="R29" s="719"/>
      <c r="S29" s="719"/>
      <c r="T29" s="719"/>
      <c r="U29" s="719"/>
      <c r="V29" s="718" t="s">
        <v>366</v>
      </c>
      <c r="W29" s="718"/>
      <c r="X29" s="717">
        <f>IF(外注付託依頼書!L44&lt;&gt;"",外注付託依頼書!L44,"")</f>
        <v>42449</v>
      </c>
      <c r="Y29" s="717"/>
      <c r="Z29" s="717"/>
      <c r="AA29" s="717"/>
      <c r="AB29" s="717"/>
      <c r="AC29" s="717"/>
      <c r="AD29" s="717"/>
      <c r="AE29" s="717"/>
      <c r="AF29" s="171" t="s">
        <v>367</v>
      </c>
      <c r="AG29" s="730">
        <f>IF(外注付託依頼書!R44,外注付託依頼書!R44,"")</f>
        <v>0.73</v>
      </c>
      <c r="AH29" s="730"/>
      <c r="AI29" s="730"/>
      <c r="AJ29" s="730"/>
      <c r="AK29" s="730"/>
      <c r="AL29" s="172" t="s">
        <v>368</v>
      </c>
      <c r="AM29" s="165"/>
      <c r="AN29" s="165"/>
      <c r="AO29" s="165"/>
      <c r="AP29" s="166"/>
      <c r="AQ29" s="166"/>
      <c r="AR29" s="166"/>
    </row>
    <row r="30" spans="1:45">
      <c r="A30" s="164"/>
      <c r="B30" s="164"/>
      <c r="C30" s="164"/>
      <c r="D30" s="164"/>
      <c r="E30" s="164"/>
      <c r="F30" s="719" t="str">
        <f>IF(外注付託依頼書!D45&lt;&gt;"",外注付託依頼書!D45,"")</f>
        <v>国外</v>
      </c>
      <c r="G30" s="719"/>
      <c r="H30" s="719"/>
      <c r="I30" s="719"/>
      <c r="J30" s="719"/>
      <c r="K30" s="719"/>
      <c r="L30" s="719"/>
      <c r="M30" s="719"/>
      <c r="N30" s="719">
        <f>IF(外注付託依頼書!F45&lt;&gt;"",外注付託依頼書!F45,"")</f>
        <v>42522</v>
      </c>
      <c r="O30" s="719"/>
      <c r="P30" s="719"/>
      <c r="Q30" s="719"/>
      <c r="R30" s="719"/>
      <c r="S30" s="719"/>
      <c r="T30" s="719"/>
      <c r="U30" s="719"/>
      <c r="V30" s="718" t="s">
        <v>366</v>
      </c>
      <c r="W30" s="718"/>
      <c r="X30" s="717">
        <f>IF(外注付託依頼書!L45&lt;&gt;"",外注付託依頼書!L45,"")</f>
        <v>42551</v>
      </c>
      <c r="Y30" s="717"/>
      <c r="Z30" s="717"/>
      <c r="AA30" s="717"/>
      <c r="AB30" s="717"/>
      <c r="AC30" s="717"/>
      <c r="AD30" s="717"/>
      <c r="AE30" s="717"/>
      <c r="AF30" s="171" t="s">
        <v>367</v>
      </c>
      <c r="AG30" s="730">
        <f>IF(外注付託依頼書!R45,外注付託依頼書!R45,"")</f>
        <v>1</v>
      </c>
      <c r="AH30" s="730"/>
      <c r="AI30" s="730"/>
      <c r="AJ30" s="730"/>
      <c r="AK30" s="730"/>
      <c r="AL30" s="172" t="s">
        <v>368</v>
      </c>
      <c r="AM30" s="165"/>
      <c r="AN30" s="165"/>
      <c r="AO30" s="165"/>
      <c r="AP30" s="166"/>
      <c r="AQ30" s="166"/>
      <c r="AR30" s="166"/>
    </row>
    <row r="31" spans="1:45">
      <c r="A31" s="164"/>
      <c r="B31" s="164"/>
      <c r="C31" s="164"/>
      <c r="D31" s="164"/>
      <c r="E31" s="164"/>
      <c r="F31" s="719" t="str">
        <f>IF(外注付託依頼書!D46&lt;&gt;"",外注付託依頼書!D46,"")</f>
        <v/>
      </c>
      <c r="G31" s="719"/>
      <c r="H31" s="719"/>
      <c r="I31" s="719"/>
      <c r="J31" s="719"/>
      <c r="K31" s="719"/>
      <c r="L31" s="719"/>
      <c r="M31" s="719"/>
      <c r="N31" s="719" t="str">
        <f>IF(外注付託依頼書!F46&lt;&gt;"",外注付託依頼書!F46,"")</f>
        <v/>
      </c>
      <c r="O31" s="719"/>
      <c r="P31" s="719"/>
      <c r="Q31" s="719"/>
      <c r="R31" s="719"/>
      <c r="S31" s="719"/>
      <c r="T31" s="719"/>
      <c r="U31" s="719"/>
      <c r="V31" s="718" t="s">
        <v>366</v>
      </c>
      <c r="W31" s="718"/>
      <c r="X31" s="717" t="str">
        <f>IF(外注付託依頼書!L46&lt;&gt;"",外注付託依頼書!L46,"")</f>
        <v/>
      </c>
      <c r="Y31" s="717"/>
      <c r="Z31" s="717"/>
      <c r="AA31" s="717"/>
      <c r="AB31" s="717"/>
      <c r="AC31" s="717"/>
      <c r="AD31" s="717"/>
      <c r="AE31" s="717"/>
      <c r="AF31" s="171" t="s">
        <v>367</v>
      </c>
      <c r="AG31" s="730" t="str">
        <f>IF(外注付託依頼書!R46,外注付託依頼書!R46,"")</f>
        <v/>
      </c>
      <c r="AH31" s="730"/>
      <c r="AI31" s="730"/>
      <c r="AJ31" s="730"/>
      <c r="AK31" s="730"/>
      <c r="AL31" s="172" t="s">
        <v>368</v>
      </c>
      <c r="AM31" s="165"/>
      <c r="AN31" s="165"/>
      <c r="AO31" s="165"/>
      <c r="AP31" s="166"/>
      <c r="AQ31" s="166"/>
      <c r="AR31" s="166"/>
    </row>
    <row r="32" spans="1:45">
      <c r="A32" s="164"/>
      <c r="B32" s="164"/>
      <c r="C32" s="164"/>
      <c r="D32" s="164"/>
      <c r="E32" s="164"/>
      <c r="F32" s="719" t="str">
        <f>IF(外注付託依頼書!D47&lt;&gt;"",外注付託依頼書!D47,"")</f>
        <v/>
      </c>
      <c r="G32" s="719"/>
      <c r="H32" s="719"/>
      <c r="I32" s="719"/>
      <c r="J32" s="719"/>
      <c r="K32" s="719"/>
      <c r="L32" s="719"/>
      <c r="M32" s="719"/>
      <c r="N32" s="719" t="str">
        <f>IF(外注付託依頼書!F47&lt;&gt;"",外注付託依頼書!F47,"")</f>
        <v/>
      </c>
      <c r="O32" s="719"/>
      <c r="P32" s="719"/>
      <c r="Q32" s="719"/>
      <c r="R32" s="719"/>
      <c r="S32" s="719"/>
      <c r="T32" s="719"/>
      <c r="U32" s="719"/>
      <c r="V32" s="718" t="s">
        <v>366</v>
      </c>
      <c r="W32" s="718"/>
      <c r="X32" s="717" t="str">
        <f>IF(外注付託依頼書!L47&lt;&gt;"",外注付託依頼書!L47,"")</f>
        <v/>
      </c>
      <c r="Y32" s="717"/>
      <c r="Z32" s="717"/>
      <c r="AA32" s="717"/>
      <c r="AB32" s="717"/>
      <c r="AC32" s="717"/>
      <c r="AD32" s="717"/>
      <c r="AE32" s="717"/>
      <c r="AF32" s="171" t="s">
        <v>367</v>
      </c>
      <c r="AG32" s="730" t="str">
        <f>IF(外注付託依頼書!R47,外注付託依頼書!R47,"")</f>
        <v/>
      </c>
      <c r="AH32" s="730"/>
      <c r="AI32" s="730"/>
      <c r="AJ32" s="730"/>
      <c r="AK32" s="730"/>
      <c r="AL32" s="172" t="s">
        <v>368</v>
      </c>
      <c r="AM32" s="165"/>
      <c r="AN32" s="165"/>
      <c r="AO32" s="165"/>
      <c r="AP32" s="166"/>
      <c r="AQ32" s="166"/>
      <c r="AR32" s="166"/>
    </row>
    <row r="33" spans="1:44">
      <c r="A33" s="164"/>
      <c r="B33" s="164"/>
      <c r="C33" s="164"/>
      <c r="D33" s="164"/>
      <c r="E33" s="164"/>
      <c r="F33" s="719" t="str">
        <f>IF(外注付託依頼書!D48&lt;&gt;"",外注付託依頼書!D48,"")</f>
        <v/>
      </c>
      <c r="G33" s="719"/>
      <c r="H33" s="719"/>
      <c r="I33" s="719"/>
      <c r="J33" s="719"/>
      <c r="K33" s="719"/>
      <c r="L33" s="719"/>
      <c r="M33" s="719"/>
      <c r="N33" s="719" t="str">
        <f>IF(外注付託依頼書!F48&lt;&gt;"",外注付託依頼書!F48,"")</f>
        <v/>
      </c>
      <c r="O33" s="719"/>
      <c r="P33" s="719"/>
      <c r="Q33" s="719"/>
      <c r="R33" s="719"/>
      <c r="S33" s="719"/>
      <c r="T33" s="719"/>
      <c r="U33" s="719"/>
      <c r="V33" s="718" t="s">
        <v>366</v>
      </c>
      <c r="W33" s="718"/>
      <c r="X33" s="717" t="str">
        <f>IF(外注付託依頼書!L48&lt;&gt;"",外注付託依頼書!L48,"")</f>
        <v/>
      </c>
      <c r="Y33" s="717"/>
      <c r="Z33" s="717"/>
      <c r="AA33" s="717"/>
      <c r="AB33" s="717"/>
      <c r="AC33" s="717"/>
      <c r="AD33" s="717"/>
      <c r="AE33" s="717"/>
      <c r="AF33" s="171" t="s">
        <v>367</v>
      </c>
      <c r="AG33" s="730" t="str">
        <f>IF(外注付託依頼書!R48,外注付託依頼書!R48,"")</f>
        <v/>
      </c>
      <c r="AH33" s="730"/>
      <c r="AI33" s="730"/>
      <c r="AJ33" s="730"/>
      <c r="AK33" s="730"/>
      <c r="AL33" s="172" t="s">
        <v>368</v>
      </c>
      <c r="AM33" s="165"/>
      <c r="AN33" s="165"/>
      <c r="AO33" s="165"/>
      <c r="AP33" s="166"/>
      <c r="AQ33" s="166"/>
      <c r="AR33" s="166"/>
    </row>
    <row r="34" spans="1:44">
      <c r="A34" s="164"/>
      <c r="B34" s="164"/>
      <c r="C34" s="164"/>
      <c r="D34" s="164"/>
      <c r="E34" s="164"/>
      <c r="F34" s="161"/>
      <c r="G34" s="161"/>
      <c r="H34" s="161"/>
      <c r="I34" s="161"/>
      <c r="J34" s="161"/>
      <c r="K34" s="161"/>
      <c r="L34" s="161"/>
      <c r="M34" s="161"/>
      <c r="N34" s="161"/>
      <c r="O34" s="161"/>
      <c r="P34" s="161"/>
      <c r="Q34" s="161"/>
      <c r="R34" s="161"/>
      <c r="S34" s="161"/>
      <c r="T34" s="161"/>
      <c r="U34" s="161"/>
      <c r="V34" s="170"/>
      <c r="W34" s="170"/>
      <c r="X34" s="167"/>
      <c r="Y34" s="167"/>
      <c r="Z34" s="167"/>
      <c r="AA34" s="167"/>
      <c r="AB34" s="167"/>
      <c r="AC34" s="717" t="s">
        <v>369</v>
      </c>
      <c r="AD34" s="717"/>
      <c r="AE34" s="717"/>
      <c r="AF34" s="717"/>
      <c r="AG34" s="730">
        <f>IF(外注付託依頼書!Q59&lt;&gt;0,外注付託依頼書!Q59,"")</f>
        <v>4</v>
      </c>
      <c r="AH34" s="730"/>
      <c r="AI34" s="730"/>
      <c r="AJ34" s="730"/>
      <c r="AK34" s="730"/>
      <c r="AL34" s="172"/>
      <c r="AM34" s="165"/>
      <c r="AN34" s="165"/>
      <c r="AO34" s="165"/>
      <c r="AP34" s="166"/>
      <c r="AQ34" s="166"/>
      <c r="AR34" s="166"/>
    </row>
    <row r="35" spans="1:44">
      <c r="A35" s="164"/>
      <c r="B35" s="164"/>
      <c r="C35" s="164"/>
      <c r="D35" s="164"/>
      <c r="E35" s="164"/>
      <c r="F35" s="164"/>
      <c r="G35" s="165"/>
      <c r="H35" s="165"/>
      <c r="I35" s="165"/>
      <c r="J35" s="165"/>
      <c r="K35" s="165"/>
      <c r="L35" s="165"/>
      <c r="M35" s="165"/>
      <c r="N35" s="165"/>
      <c r="O35" s="165"/>
      <c r="P35" s="165"/>
      <c r="Q35" s="165"/>
      <c r="R35" s="165"/>
      <c r="S35" s="165"/>
      <c r="T35" s="166"/>
      <c r="U35" s="166"/>
      <c r="V35" s="170"/>
      <c r="W35" s="173"/>
      <c r="X35" s="173"/>
      <c r="Y35" s="173"/>
      <c r="Z35" s="173"/>
      <c r="AA35" s="173"/>
      <c r="AB35" s="173"/>
      <c r="AC35" s="165"/>
      <c r="AD35" s="165"/>
      <c r="AE35" s="165"/>
      <c r="AF35" s="165"/>
      <c r="AG35" s="165"/>
      <c r="AH35" s="165"/>
      <c r="AI35" s="165"/>
      <c r="AJ35" s="165"/>
      <c r="AK35" s="165"/>
      <c r="AL35" s="165"/>
      <c r="AM35" s="165"/>
      <c r="AN35" s="165"/>
      <c r="AO35" s="165"/>
      <c r="AP35" s="166"/>
      <c r="AQ35" s="166"/>
      <c r="AR35" s="166"/>
    </row>
    <row r="36" spans="1:44">
      <c r="A36" s="160" t="s">
        <v>635</v>
      </c>
      <c r="H36" s="732" t="s">
        <v>45</v>
      </c>
      <c r="I36" s="732"/>
      <c r="J36" s="732"/>
      <c r="K36" s="732"/>
      <c r="L36" s="174"/>
      <c r="M36" s="175" t="s">
        <v>370</v>
      </c>
      <c r="N36" s="723">
        <f>+N37+AC37</f>
        <v>0</v>
      </c>
      <c r="O36" s="723"/>
      <c r="P36" s="723"/>
      <c r="Q36" s="723"/>
      <c r="R36" s="723"/>
      <c r="S36" s="723"/>
      <c r="T36" s="723"/>
      <c r="U36" s="176" t="s">
        <v>371</v>
      </c>
      <c r="W36" s="177"/>
      <c r="X36" s="177"/>
      <c r="Y36" s="177"/>
      <c r="Z36" s="177"/>
      <c r="AA36" s="177"/>
      <c r="AB36" s="177"/>
      <c r="AC36" s="177"/>
      <c r="AD36" s="177"/>
    </row>
    <row r="37" spans="1:44">
      <c r="E37" s="716" t="s">
        <v>372</v>
      </c>
      <c r="F37" s="716"/>
      <c r="G37" s="716"/>
      <c r="H37" s="725" t="s">
        <v>45</v>
      </c>
      <c r="I37" s="725"/>
      <c r="J37" s="725"/>
      <c r="K37" s="725"/>
      <c r="L37" s="178"/>
      <c r="M37" s="179" t="s">
        <v>370</v>
      </c>
      <c r="N37" s="721">
        <f>+AD45</f>
        <v>0</v>
      </c>
      <c r="O37" s="721"/>
      <c r="P37" s="721"/>
      <c r="Q37" s="721"/>
      <c r="R37" s="721"/>
      <c r="S37" s="721"/>
      <c r="T37" s="721"/>
      <c r="U37" s="180" t="s">
        <v>371</v>
      </c>
      <c r="W37" s="177"/>
      <c r="X37" s="732" t="s">
        <v>373</v>
      </c>
      <c r="Y37" s="732"/>
      <c r="Z37" s="732"/>
      <c r="AA37" s="732"/>
      <c r="AB37" s="174" t="s">
        <v>374</v>
      </c>
      <c r="AC37" s="723">
        <f>ROUNDDOWN(N37*外注付託依頼書!AB77,0)</f>
        <v>0</v>
      </c>
      <c r="AD37" s="723"/>
      <c r="AE37" s="723"/>
      <c r="AF37" s="723"/>
      <c r="AG37" s="723"/>
      <c r="AH37" s="723"/>
      <c r="AI37" s="176" t="s">
        <v>375</v>
      </c>
    </row>
    <row r="38" spans="1:44">
      <c r="H38" s="716" t="s">
        <v>376</v>
      </c>
      <c r="I38" s="716"/>
      <c r="J38" s="716"/>
      <c r="K38" s="716"/>
      <c r="L38" s="162"/>
      <c r="M38" s="165" t="s">
        <v>377</v>
      </c>
      <c r="N38" s="722" t="str">
        <f>IF(外注付託依頼書!$AA$28="JPY",IF(外注付託依頼書!$AB$27&lt;&gt;0,外注付託依頼書!$AB$27,""),"")</f>
        <v>単価</v>
      </c>
      <c r="O38" s="722"/>
      <c r="P38" s="722"/>
      <c r="Q38" s="722"/>
      <c r="R38" s="722"/>
      <c r="S38" s="722"/>
      <c r="T38" s="722"/>
      <c r="W38" s="177" t="s">
        <v>378</v>
      </c>
      <c r="X38" s="733" t="str">
        <f>IF(外注付託依頼書!$AA$28="JPY",IF(外注付託依頼書!$AD$27&lt;&gt;0,外注付託依頼書!$AD$27,""),"")</f>
        <v>数量</v>
      </c>
      <c r="Y38" s="727"/>
      <c r="Z38" s="727"/>
      <c r="AA38" s="727" t="str">
        <f>IF(外注付託依頼書!$AA$28="JPY",IF(外注付託依頼書!$AE$28&lt;&gt;"",外注付託依頼書!$AE$28,""),"")</f>
        <v>M/M</v>
      </c>
      <c r="AB38" s="727"/>
      <c r="AC38" s="177" t="s">
        <v>379</v>
      </c>
      <c r="AD38" s="731" t="str">
        <f>IF(外注付託依頼書!$AA$28="JPY",IF(外注付託依頼書!$AH$27&lt;&gt;0,外注付託依頼書!$AH$27,""),"")</f>
        <v/>
      </c>
      <c r="AE38" s="731"/>
      <c r="AF38" s="731"/>
      <c r="AG38" s="731"/>
      <c r="AH38" s="731"/>
      <c r="AI38" s="731"/>
    </row>
    <row r="39" spans="1:44">
      <c r="H39" s="716" t="s">
        <v>93</v>
      </c>
      <c r="I39" s="716"/>
      <c r="J39" s="716"/>
      <c r="K39" s="716"/>
      <c r="M39" s="165" t="s">
        <v>377</v>
      </c>
      <c r="N39" s="724" t="str">
        <f>IF(外注付託依頼書!$AA$36="JPY",IF(外注付託依頼書!AC31="支給しない","",IF(外注付託依頼書!AC31="J'sNAVIにて精算","",外注付託依頼書!$AB$36)),"")</f>
        <v/>
      </c>
      <c r="O39" s="724"/>
      <c r="P39" s="724"/>
      <c r="Q39" s="724"/>
      <c r="R39" s="724"/>
      <c r="S39" s="724"/>
      <c r="T39" s="724"/>
      <c r="W39" s="177" t="s">
        <v>378</v>
      </c>
      <c r="X39" s="727" t="str">
        <f>IF(外注付託依頼書!$AA$36="JPY",IF(外注付託依頼書!AC31="支給しない","",IF(外注付託依頼書!AC31="J'sNAVIにて精算","",外注付託依頼書!$AD$36)),"")</f>
        <v/>
      </c>
      <c r="Y39" s="727"/>
      <c r="Z39" s="727"/>
      <c r="AA39" s="727" t="str">
        <f>IF(外注付託依頼書!$AA$36="JPY",IF(外注付託依頼書!AC31="支給しない","",IF(外注付託依頼書!AC31="J'sNAVIにて精算","",外注付託依頼書!$AE$36)),"")</f>
        <v/>
      </c>
      <c r="AB39" s="727"/>
      <c r="AC39" s="177" t="s">
        <v>379</v>
      </c>
      <c r="AD39" s="731" t="str">
        <f>IF(外注付託依頼書!$AA$36="JPY",IF(外注付託依頼書!$AC$31="支給しない","",IF(外注付託依頼書!$AC$31="J'sNAVIにて精算","",外注付託依頼書!$AH$36)),"")</f>
        <v/>
      </c>
      <c r="AE39" s="731"/>
      <c r="AF39" s="731"/>
      <c r="AG39" s="731"/>
      <c r="AH39" s="731"/>
      <c r="AI39" s="731"/>
    </row>
    <row r="40" spans="1:44">
      <c r="H40" s="716" t="s">
        <v>99</v>
      </c>
      <c r="I40" s="716"/>
      <c r="J40" s="716"/>
      <c r="K40" s="716"/>
      <c r="M40" s="165" t="s">
        <v>377</v>
      </c>
      <c r="N40" s="724" t="str">
        <f>IF(外注付託依頼書!$AA$44="JPY",IF(外注付託依頼書!$AC$39="支給しない","",IF(外注付託依頼書!$AC$39="J'sNAVIにて精算","",外注付託依頼書!$AB$44)),"")</f>
        <v/>
      </c>
      <c r="O40" s="724"/>
      <c r="P40" s="724"/>
      <c r="Q40" s="724"/>
      <c r="R40" s="724"/>
      <c r="S40" s="724"/>
      <c r="T40" s="724"/>
      <c r="W40" s="177" t="s">
        <v>378</v>
      </c>
      <c r="X40" s="727" t="str">
        <f>IF(外注付託依頼書!$AA$44="JPY",IF(外注付託依頼書!$AC$39="支給しない","",IF(外注付託依頼書!$AC$39="J'sNAVIにて精算","",外注付託依頼書!$AD$44)),"")</f>
        <v/>
      </c>
      <c r="Y40" s="727"/>
      <c r="Z40" s="727"/>
      <c r="AA40" s="727" t="str">
        <f>IF(外注付託依頼書!$AA$44="JPY",IF(外注付託依頼書!AC39="支給しない","",IF(外注付託依頼書!AC39="J'sNAVIにて精算","",外注付託依頼書!$AE$44)),"")</f>
        <v/>
      </c>
      <c r="AB40" s="727"/>
      <c r="AC40" s="177" t="s">
        <v>379</v>
      </c>
      <c r="AD40" s="731" t="str">
        <f>IF(外注付託依頼書!$AA$44="JPY",IF(外注付託依頼書!$AC$39="支給しない","",IF(外注付託依頼書!$AC$39="J'sNAVIにて精算","",外注付託依頼書!$AH$44)),"")</f>
        <v/>
      </c>
      <c r="AE40" s="731"/>
      <c r="AF40" s="731"/>
      <c r="AG40" s="731"/>
      <c r="AH40" s="731"/>
      <c r="AI40" s="731"/>
    </row>
    <row r="41" spans="1:44">
      <c r="H41" s="716" t="s">
        <v>55</v>
      </c>
      <c r="I41" s="716"/>
      <c r="J41" s="716"/>
      <c r="K41" s="716"/>
      <c r="M41" s="165" t="s">
        <v>377</v>
      </c>
      <c r="N41" s="724"/>
      <c r="O41" s="724"/>
      <c r="P41" s="724"/>
      <c r="Q41" s="724"/>
      <c r="R41" s="724"/>
      <c r="S41" s="724"/>
      <c r="T41" s="724"/>
      <c r="W41" s="177" t="s">
        <v>378</v>
      </c>
      <c r="X41" s="727"/>
      <c r="Y41" s="727"/>
      <c r="Z41" s="727"/>
      <c r="AA41" s="727"/>
      <c r="AB41" s="727"/>
      <c r="AC41" s="177" t="s">
        <v>379</v>
      </c>
      <c r="AD41" s="731"/>
      <c r="AE41" s="731"/>
      <c r="AF41" s="731"/>
      <c r="AG41" s="731"/>
      <c r="AH41" s="731"/>
      <c r="AI41" s="731"/>
    </row>
    <row r="42" spans="1:44">
      <c r="H42" s="736" t="str">
        <f>IF(外注付託依頼書!Z59&lt;&gt;"",外注付託依頼書!Z59,"")</f>
        <v/>
      </c>
      <c r="I42" s="736"/>
      <c r="J42" s="736"/>
      <c r="K42" s="736"/>
      <c r="M42" s="165" t="s">
        <v>377</v>
      </c>
      <c r="N42" s="724" t="str">
        <f>IF(外注付託依頼書!$AA$61="JPY",IF(外注付託依頼書!Z59="","",外注付託依頼書!$AB$61),"")</f>
        <v/>
      </c>
      <c r="O42" s="724"/>
      <c r="P42" s="724"/>
      <c r="Q42" s="724"/>
      <c r="R42" s="724"/>
      <c r="S42" s="724"/>
      <c r="T42" s="724"/>
      <c r="W42" s="177" t="s">
        <v>378</v>
      </c>
      <c r="X42" s="727" t="str">
        <f>IF(外注付託依頼書!$AA$61="JPY",IF(外注付託依頼書!Z59="","",外注付託依頼書!$AD$61),"")</f>
        <v/>
      </c>
      <c r="Y42" s="727"/>
      <c r="Z42" s="727"/>
      <c r="AA42" s="727" t="str">
        <f>IF(外注付託依頼書!$AA$61="JPY",IF(外注付託依頼書!Z59="","",外注付託依頼書!$AE$61),"")</f>
        <v/>
      </c>
      <c r="AB42" s="727"/>
      <c r="AC42" s="177" t="s">
        <v>379</v>
      </c>
      <c r="AD42" s="731" t="str">
        <f>IF(外注付託依頼書!$AA$61="JPY",IF(外注付託依頼書!Z59&lt;&gt;"",外注付託依頼書!AH61,""),"")</f>
        <v/>
      </c>
      <c r="AE42" s="731"/>
      <c r="AF42" s="731"/>
      <c r="AG42" s="731"/>
      <c r="AH42" s="731"/>
      <c r="AI42" s="731"/>
    </row>
    <row r="43" spans="1:44">
      <c r="H43" s="716" t="str">
        <f>IF(外注付託依頼書!Z64&lt;&gt;"",外注付託依頼書!Z64,"")</f>
        <v/>
      </c>
      <c r="I43" s="716"/>
      <c r="J43" s="716"/>
      <c r="K43" s="716"/>
      <c r="M43" s="165" t="s">
        <v>377</v>
      </c>
      <c r="N43" s="724" t="str">
        <f>IF(外注付託依頼書!$AA$66="JPY",IF(外注付託依頼書!Z64="","",外注付託依頼書!$AB$66),"")</f>
        <v/>
      </c>
      <c r="O43" s="724"/>
      <c r="P43" s="724"/>
      <c r="Q43" s="724"/>
      <c r="R43" s="724"/>
      <c r="S43" s="724"/>
      <c r="T43" s="724"/>
      <c r="W43" s="177" t="s">
        <v>378</v>
      </c>
      <c r="X43" s="727" t="str">
        <f>IF(外注付託依頼書!$AA$66="JPY",IF(外注付託依頼書!Z64="","",外注付託依頼書!$AD$66),"")</f>
        <v/>
      </c>
      <c r="Y43" s="727"/>
      <c r="Z43" s="727"/>
      <c r="AA43" s="727" t="str">
        <f>IF(外注付託依頼書!$AA$66="JPY",IF(外注付託依頼書!Z64="","",外注付託依頼書!$AE$66),"")</f>
        <v/>
      </c>
      <c r="AB43" s="727"/>
      <c r="AC43" s="177" t="s">
        <v>379</v>
      </c>
      <c r="AD43" s="731" t="str">
        <f>IF(外注付託依頼書!$AA$66="JPY",IF(外注付託依頼書!Z64&lt;&gt;"",外注付託依頼書!$AH$66,""),"")</f>
        <v/>
      </c>
      <c r="AE43" s="731"/>
      <c r="AF43" s="731"/>
      <c r="AG43" s="731"/>
      <c r="AH43" s="731"/>
      <c r="AI43" s="731"/>
    </row>
    <row r="44" spans="1:44">
      <c r="H44" s="735" t="str">
        <f>IF(外注付託依頼書!Z69&lt;&gt;"",外注付託依頼書!Z69,"")</f>
        <v/>
      </c>
      <c r="I44" s="735"/>
      <c r="J44" s="735"/>
      <c r="K44" s="735"/>
      <c r="L44" s="183"/>
      <c r="M44" s="184" t="s">
        <v>377</v>
      </c>
      <c r="N44" s="726" t="str">
        <f>IF(外注付託依頼書!$AA$71="JPY",IF(外注付託依頼書!Z69="","",外注付託依頼書!$AB$71),"")</f>
        <v/>
      </c>
      <c r="O44" s="726"/>
      <c r="P44" s="726"/>
      <c r="Q44" s="726"/>
      <c r="R44" s="726"/>
      <c r="S44" s="726"/>
      <c r="T44" s="726"/>
      <c r="U44" s="183"/>
      <c r="V44" s="183"/>
      <c r="W44" s="183" t="s">
        <v>378</v>
      </c>
      <c r="X44" s="735" t="str">
        <f>IF(外注付託依頼書!$AA$71="JPY",IF(外注付託依頼書!Z69="","",外注付託依頼書!$AD$71),"")</f>
        <v/>
      </c>
      <c r="Y44" s="735"/>
      <c r="Z44" s="735"/>
      <c r="AA44" s="735" t="str">
        <f>IF(外注付託依頼書!$AA$71="JPY",IF(外注付託依頼書!Z69="","",外注付託依頼書!$AE$71),"")</f>
        <v/>
      </c>
      <c r="AB44" s="735"/>
      <c r="AC44" s="183" t="s">
        <v>379</v>
      </c>
      <c r="AD44" s="726" t="str">
        <f>IF(外注付託依頼書!$AA$71="JPY",IF(外注付託依頼書!Z69&lt;&gt;"",外注付託依頼書!$AH$71,""),"")</f>
        <v/>
      </c>
      <c r="AE44" s="726"/>
      <c r="AF44" s="726"/>
      <c r="AG44" s="726"/>
      <c r="AH44" s="726"/>
      <c r="AI44" s="726"/>
    </row>
    <row r="45" spans="1:44">
      <c r="W45" s="177"/>
      <c r="X45" s="177"/>
      <c r="AA45" s="716" t="s">
        <v>103</v>
      </c>
      <c r="AB45" s="716"/>
      <c r="AC45" s="716"/>
      <c r="AD45" s="724">
        <f>SUM(AD38:AI44)</f>
        <v>0</v>
      </c>
      <c r="AE45" s="720"/>
      <c r="AF45" s="720"/>
      <c r="AG45" s="720"/>
      <c r="AH45" s="720"/>
      <c r="AI45" s="720"/>
    </row>
    <row r="46" spans="1:44">
      <c r="W46" s="177"/>
      <c r="X46" s="177"/>
      <c r="AA46" s="716"/>
      <c r="AB46" s="716"/>
      <c r="AC46" s="716"/>
      <c r="AD46" s="258"/>
      <c r="AE46" s="258"/>
      <c r="AF46" s="258"/>
      <c r="AG46" s="258"/>
      <c r="AH46" s="258"/>
      <c r="AI46" s="258"/>
    </row>
    <row r="47" spans="1:44" ht="41.1" customHeight="1">
      <c r="A47" s="257" t="s">
        <v>636</v>
      </c>
      <c r="G47" s="734" t="str">
        <f>IF(摘要&lt;&gt;"",摘要,"")</f>
        <v/>
      </c>
      <c r="H47" s="734"/>
      <c r="I47" s="734"/>
      <c r="J47" s="734"/>
      <c r="K47" s="734"/>
      <c r="L47" s="734"/>
      <c r="M47" s="734"/>
      <c r="N47" s="734"/>
      <c r="O47" s="734"/>
      <c r="P47" s="734"/>
      <c r="Q47" s="734"/>
      <c r="R47" s="734"/>
      <c r="S47" s="734"/>
      <c r="T47" s="734"/>
      <c r="U47" s="734"/>
      <c r="V47" s="734"/>
      <c r="W47" s="734"/>
      <c r="X47" s="734"/>
      <c r="Y47" s="734"/>
      <c r="Z47" s="734"/>
      <c r="AA47" s="734"/>
      <c r="AB47" s="734"/>
      <c r="AC47" s="734"/>
      <c r="AD47" s="734"/>
      <c r="AE47" s="734"/>
      <c r="AF47" s="734"/>
      <c r="AG47" s="734"/>
      <c r="AH47" s="734"/>
      <c r="AI47" s="734"/>
      <c r="AJ47" s="734"/>
      <c r="AK47" s="734"/>
      <c r="AL47" s="734"/>
      <c r="AM47" s="734"/>
      <c r="AN47" s="734"/>
      <c r="AO47" s="734"/>
    </row>
    <row r="48" spans="1:44" ht="41.1" customHeight="1">
      <c r="G48" s="734"/>
      <c r="H48" s="734"/>
      <c r="I48" s="734"/>
      <c r="J48" s="734"/>
      <c r="K48" s="734"/>
      <c r="L48" s="734"/>
      <c r="M48" s="734"/>
      <c r="N48" s="734"/>
      <c r="O48" s="734"/>
      <c r="P48" s="734"/>
      <c r="Q48" s="734"/>
      <c r="R48" s="734"/>
      <c r="S48" s="734"/>
      <c r="T48" s="734"/>
      <c r="U48" s="734"/>
      <c r="V48" s="734"/>
      <c r="W48" s="734"/>
      <c r="X48" s="734"/>
      <c r="Y48" s="734"/>
      <c r="Z48" s="734"/>
      <c r="AA48" s="734"/>
      <c r="AB48" s="734"/>
      <c r="AC48" s="734"/>
      <c r="AD48" s="734"/>
      <c r="AE48" s="734"/>
      <c r="AF48" s="734"/>
      <c r="AG48" s="734"/>
      <c r="AH48" s="734"/>
      <c r="AI48" s="734"/>
      <c r="AJ48" s="734"/>
      <c r="AK48" s="734"/>
      <c r="AL48" s="734"/>
      <c r="AM48" s="734"/>
      <c r="AN48" s="734"/>
      <c r="AO48" s="734"/>
    </row>
    <row r="49" spans="1:42" ht="41.1" customHeight="1">
      <c r="G49" s="734"/>
      <c r="H49" s="734"/>
      <c r="I49" s="734"/>
      <c r="J49" s="734"/>
      <c r="K49" s="734"/>
      <c r="L49" s="734"/>
      <c r="M49" s="734"/>
      <c r="N49" s="734"/>
      <c r="O49" s="734"/>
      <c r="P49" s="734"/>
      <c r="Q49" s="734"/>
      <c r="R49" s="734"/>
      <c r="S49" s="734"/>
      <c r="T49" s="734"/>
      <c r="U49" s="734"/>
      <c r="V49" s="734"/>
      <c r="W49" s="734"/>
      <c r="X49" s="734"/>
      <c r="Y49" s="734"/>
      <c r="Z49" s="734"/>
      <c r="AA49" s="734"/>
      <c r="AB49" s="734"/>
      <c r="AC49" s="734"/>
      <c r="AD49" s="734"/>
      <c r="AE49" s="734"/>
      <c r="AF49" s="734"/>
      <c r="AG49" s="734"/>
      <c r="AH49" s="734"/>
      <c r="AI49" s="734"/>
      <c r="AJ49" s="734"/>
      <c r="AK49" s="734"/>
      <c r="AL49" s="734"/>
      <c r="AM49" s="734"/>
      <c r="AN49" s="734"/>
      <c r="AO49" s="734"/>
    </row>
    <row r="50" spans="1:42" ht="41.1" customHeight="1">
      <c r="G50" s="734"/>
      <c r="H50" s="734"/>
      <c r="I50" s="734"/>
      <c r="J50" s="734"/>
      <c r="K50" s="734"/>
      <c r="L50" s="734"/>
      <c r="M50" s="734"/>
      <c r="N50" s="734"/>
      <c r="O50" s="734"/>
      <c r="P50" s="734"/>
      <c r="Q50" s="734"/>
      <c r="R50" s="734"/>
      <c r="S50" s="734"/>
      <c r="T50" s="734"/>
      <c r="U50" s="734"/>
      <c r="V50" s="734"/>
      <c r="W50" s="734"/>
      <c r="X50" s="734"/>
      <c r="Y50" s="734"/>
      <c r="Z50" s="734"/>
      <c r="AA50" s="734"/>
      <c r="AB50" s="734"/>
      <c r="AC50" s="734"/>
      <c r="AD50" s="734"/>
      <c r="AE50" s="734"/>
      <c r="AF50" s="734"/>
      <c r="AG50" s="734"/>
      <c r="AH50" s="734"/>
      <c r="AI50" s="734"/>
      <c r="AJ50" s="734"/>
      <c r="AK50" s="734"/>
      <c r="AL50" s="734"/>
      <c r="AM50" s="734"/>
      <c r="AN50" s="734"/>
      <c r="AO50" s="734"/>
    </row>
    <row r="52" spans="1:42">
      <c r="A52" s="160" t="s">
        <v>712</v>
      </c>
    </row>
    <row r="54" spans="1:42" hidden="1"/>
    <row r="55" spans="1:42" hidden="1"/>
    <row r="56" spans="1:42">
      <c r="A56" s="160" t="s">
        <v>637</v>
      </c>
      <c r="G56" s="160" t="s">
        <v>380</v>
      </c>
    </row>
    <row r="57" spans="1:42">
      <c r="G57" s="160" t="s">
        <v>381</v>
      </c>
    </row>
    <row r="58" spans="1:42">
      <c r="I58" s="716" t="s">
        <v>382</v>
      </c>
      <c r="J58" s="716"/>
      <c r="K58" s="716"/>
      <c r="L58" s="716"/>
      <c r="M58" s="716"/>
      <c r="N58" s="716"/>
      <c r="O58" s="162" t="s">
        <v>383</v>
      </c>
      <c r="P58" s="728" t="str">
        <f>IF(外注付託依頼書!$G$28&lt;&gt;"",外注付託依頼書!$G$28,"")</f>
        <v/>
      </c>
      <c r="Q58" s="728"/>
      <c r="R58" s="728"/>
      <c r="S58" s="728"/>
      <c r="T58" s="728"/>
      <c r="U58" s="728"/>
      <c r="V58" s="728"/>
      <c r="W58" s="728"/>
      <c r="X58" s="728"/>
      <c r="Y58" s="728"/>
    </row>
    <row r="59" spans="1:42">
      <c r="I59" s="716" t="s">
        <v>82</v>
      </c>
      <c r="J59" s="716"/>
      <c r="K59" s="716"/>
      <c r="L59" s="716"/>
      <c r="M59" s="716"/>
      <c r="N59" s="716"/>
      <c r="O59" s="162" t="s">
        <v>384</v>
      </c>
      <c r="P59" s="729" t="str">
        <f>IF(WorkSubjectCode&lt;&gt;"",WorkSubjectCode,"")</f>
        <v>JA15R1003</v>
      </c>
      <c r="Q59" s="729"/>
      <c r="R59" s="729"/>
      <c r="S59" s="729"/>
      <c r="T59" s="729"/>
      <c r="U59" s="729"/>
      <c r="V59" s="729"/>
      <c r="W59" s="729"/>
      <c r="X59" s="729"/>
      <c r="Y59" s="729"/>
    </row>
    <row r="60" spans="1:42">
      <c r="I60" s="716" t="s">
        <v>385</v>
      </c>
      <c r="J60" s="716"/>
      <c r="K60" s="716"/>
      <c r="L60" s="716"/>
      <c r="M60" s="716"/>
      <c r="N60" s="716"/>
      <c r="O60" s="162" t="s">
        <v>386</v>
      </c>
      <c r="P60" s="729" t="str">
        <f>IF(外注付託依頼書!$AG$3&lt;&gt;"",外注付託依頼書!$AG$3,"")</f>
        <v>JA1600301</v>
      </c>
      <c r="Q60" s="729"/>
      <c r="R60" s="729"/>
      <c r="S60" s="729"/>
      <c r="T60" s="729"/>
      <c r="U60" s="729"/>
      <c r="V60" s="729"/>
      <c r="W60" s="729"/>
      <c r="X60" s="729"/>
      <c r="Y60" s="729"/>
    </row>
    <row r="61" spans="1:42">
      <c r="AG61" s="720" t="s">
        <v>387</v>
      </c>
      <c r="AH61" s="720"/>
      <c r="AI61" s="720"/>
      <c r="AJ61" s="720"/>
      <c r="AK61" s="720"/>
      <c r="AL61" s="720"/>
      <c r="AM61" s="720"/>
      <c r="AN61" s="720"/>
      <c r="AO61" s="720"/>
      <c r="AP61" s="720"/>
    </row>
    <row r="62" spans="1:42">
      <c r="C62" s="160" t="str">
        <f>IF(依頼所属名&lt;&gt;"","写）　"&amp;依頼所属名&amp;"　　　　　⇒　Project　Office","")</f>
        <v>写）　道路・橋梁部　　　　　⇒　Project　Office</v>
      </c>
      <c r="AG62" s="720" t="str">
        <f>IF(外注付託依頼書!$AG$3&lt;&gt;"","注文ＮＯ："&amp;外注付託依頼書!$AG$3,"")</f>
        <v>注文ＮＯ：JA1600301</v>
      </c>
      <c r="AH62" s="720"/>
      <c r="AI62" s="720"/>
      <c r="AJ62" s="720"/>
      <c r="AK62" s="720"/>
      <c r="AL62" s="720"/>
      <c r="AM62" s="720"/>
      <c r="AN62" s="720"/>
      <c r="AO62" s="720"/>
      <c r="AP62" s="720"/>
    </row>
  </sheetData>
  <mergeCells count="101">
    <mergeCell ref="I1:AJ2"/>
    <mergeCell ref="R9:T9"/>
    <mergeCell ref="F32:M32"/>
    <mergeCell ref="N32:U32"/>
    <mergeCell ref="A6:F6"/>
    <mergeCell ref="N30:U30"/>
    <mergeCell ref="N26:AE26"/>
    <mergeCell ref="AF26:AL26"/>
    <mergeCell ref="X27:AE27"/>
    <mergeCell ref="AF4:AQ4"/>
    <mergeCell ref="AF5:AQ5"/>
    <mergeCell ref="X32:AE32"/>
    <mergeCell ref="AF13:AR13"/>
    <mergeCell ref="V27:W27"/>
    <mergeCell ref="N28:U28"/>
    <mergeCell ref="V28:W28"/>
    <mergeCell ref="F26:M26"/>
    <mergeCell ref="F29:M29"/>
    <mergeCell ref="N27:U27"/>
    <mergeCell ref="AG61:AP61"/>
    <mergeCell ref="AG62:AP62"/>
    <mergeCell ref="X31:AE31"/>
    <mergeCell ref="X28:AE28"/>
    <mergeCell ref="AG28:AK28"/>
    <mergeCell ref="N37:T37"/>
    <mergeCell ref="A17:AS17"/>
    <mergeCell ref="AG30:AK30"/>
    <mergeCell ref="AG32:AK32"/>
    <mergeCell ref="N31:U31"/>
    <mergeCell ref="V31:W31"/>
    <mergeCell ref="V33:W33"/>
    <mergeCell ref="V32:W32"/>
    <mergeCell ref="AG31:AK31"/>
    <mergeCell ref="F27:M27"/>
    <mergeCell ref="F28:M28"/>
    <mergeCell ref="V30:W30"/>
    <mergeCell ref="X30:AE30"/>
    <mergeCell ref="N33:U33"/>
    <mergeCell ref="AG27:AK27"/>
    <mergeCell ref="X29:AE29"/>
    <mergeCell ref="N29:U29"/>
    <mergeCell ref="V29:W29"/>
    <mergeCell ref="AG29:AK29"/>
    <mergeCell ref="I60:N60"/>
    <mergeCell ref="P58:Y58"/>
    <mergeCell ref="P59:Y59"/>
    <mergeCell ref="P60:Y60"/>
    <mergeCell ref="I58:N58"/>
    <mergeCell ref="X33:AE33"/>
    <mergeCell ref="X40:Z40"/>
    <mergeCell ref="N36:T36"/>
    <mergeCell ref="X43:Z43"/>
    <mergeCell ref="AD39:AI39"/>
    <mergeCell ref="AG33:AK33"/>
    <mergeCell ref="AG34:AK34"/>
    <mergeCell ref="AC34:AF34"/>
    <mergeCell ref="F33:M33"/>
    <mergeCell ref="X37:AA37"/>
    <mergeCell ref="AC37:AH37"/>
    <mergeCell ref="AD40:AI40"/>
    <mergeCell ref="H43:K43"/>
    <mergeCell ref="AD42:AI42"/>
    <mergeCell ref="H44:K44"/>
    <mergeCell ref="X42:Z42"/>
    <mergeCell ref="H42:K42"/>
    <mergeCell ref="N43:T43"/>
    <mergeCell ref="AA39:AB39"/>
    <mergeCell ref="H38:K38"/>
    <mergeCell ref="N38:T38"/>
    <mergeCell ref="AD43:AI43"/>
    <mergeCell ref="AA42:AB42"/>
    <mergeCell ref="H40:K40"/>
    <mergeCell ref="N40:T40"/>
    <mergeCell ref="N39:T39"/>
    <mergeCell ref="AA38:AB38"/>
    <mergeCell ref="X39:Z39"/>
    <mergeCell ref="AA40:AB40"/>
    <mergeCell ref="H36:K36"/>
    <mergeCell ref="H37:K37"/>
    <mergeCell ref="F31:M31"/>
    <mergeCell ref="F30:M30"/>
    <mergeCell ref="E37:G37"/>
    <mergeCell ref="AA44:AB44"/>
    <mergeCell ref="AD44:AI44"/>
    <mergeCell ref="AA41:AB41"/>
    <mergeCell ref="I59:N59"/>
    <mergeCell ref="AA46:AC46"/>
    <mergeCell ref="G47:AO50"/>
    <mergeCell ref="N44:T44"/>
    <mergeCell ref="X44:Z44"/>
    <mergeCell ref="AD45:AI45"/>
    <mergeCell ref="AA45:AC45"/>
    <mergeCell ref="N41:T41"/>
    <mergeCell ref="AA43:AB43"/>
    <mergeCell ref="N42:T42"/>
    <mergeCell ref="X38:Z38"/>
    <mergeCell ref="H39:K39"/>
    <mergeCell ref="H41:K41"/>
    <mergeCell ref="AD41:AI41"/>
    <mergeCell ref="X41:Z41"/>
    <mergeCell ref="AD38:AI38"/>
  </mergeCells>
  <phoneticPr fontId="2"/>
  <pageMargins left="0.59" right="0.19685039370078741" top="0.66" bottom="0.59055118110236227" header="0.51181102362204722" footer="0.51181102362204722"/>
  <pageSetup paperSize="9" scale="97"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sheetPr codeName="Sheet14"/>
  <dimension ref="A1:AR62"/>
  <sheetViews>
    <sheetView showZeros="0" topLeftCell="A31" zoomScaleNormal="100" workbookViewId="0">
      <selection activeCell="F60" sqref="F60"/>
    </sheetView>
  </sheetViews>
  <sheetFormatPr defaultRowHeight="13.5"/>
  <cols>
    <col min="1" max="11" width="2.25" style="160" customWidth="1"/>
    <col min="12" max="12" width="1.25" style="160" customWidth="1"/>
    <col min="13" max="13" width="2.125" style="160" customWidth="1"/>
    <col min="14" max="18" width="2.25" style="160" customWidth="1"/>
    <col min="19" max="19" width="1.125" style="160" customWidth="1"/>
    <col min="20" max="21" width="2.25" style="160" customWidth="1"/>
    <col min="22" max="22" width="1.125" style="160" customWidth="1"/>
    <col min="23" max="33" width="2.25" style="160" customWidth="1"/>
    <col min="34" max="34" width="1.125" style="160" customWidth="1"/>
    <col min="35" max="35" width="2.25" style="160" customWidth="1"/>
    <col min="36" max="36" width="1.125" style="160" customWidth="1"/>
    <col min="37" max="42" width="2.25" style="160" customWidth="1"/>
    <col min="43" max="43" width="1.125" style="160" customWidth="1"/>
    <col min="44" max="44" width="2.25" style="160" customWidth="1"/>
    <col min="45" max="45" width="1.125" style="160" customWidth="1"/>
    <col min="46" max="87" width="2.125" style="160" customWidth="1"/>
    <col min="88" max="16384" width="9" style="160"/>
  </cols>
  <sheetData>
    <row r="1" spans="1:44" ht="13.5" customHeight="1">
      <c r="A1" s="158"/>
      <c r="B1" s="158"/>
      <c r="C1" s="158"/>
      <c r="D1" s="158"/>
      <c r="E1" s="158"/>
      <c r="F1" s="158"/>
      <c r="G1" s="158"/>
      <c r="H1" s="158"/>
      <c r="I1" s="737" t="s">
        <v>359</v>
      </c>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158"/>
      <c r="AL1" s="158"/>
      <c r="AM1" s="158"/>
      <c r="AN1" s="158"/>
      <c r="AO1" s="158"/>
      <c r="AP1" s="159"/>
    </row>
    <row r="2" spans="1:44" ht="13.5" customHeight="1">
      <c r="A2" s="158"/>
      <c r="B2" s="158"/>
      <c r="C2" s="158"/>
      <c r="D2" s="158"/>
      <c r="E2" s="158"/>
      <c r="F2" s="158"/>
      <c r="G2" s="158"/>
      <c r="H2" s="158"/>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158"/>
      <c r="AL2" s="158"/>
      <c r="AM2" s="158"/>
      <c r="AN2" s="158"/>
      <c r="AO2" s="158"/>
      <c r="AP2" s="159"/>
    </row>
    <row r="3" spans="1:44" ht="13.5" customHeight="1">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9"/>
    </row>
    <row r="4" spans="1:44">
      <c r="AF4" s="719" t="str">
        <f>IF(期間変更依頼!$H$120&lt;&gt;"",期間変更依頼!$H$120,"")</f>
        <v/>
      </c>
      <c r="AG4" s="719"/>
      <c r="AH4" s="719"/>
      <c r="AI4" s="719"/>
      <c r="AJ4" s="719"/>
      <c r="AK4" s="719"/>
      <c r="AL4" s="719"/>
      <c r="AM4" s="719"/>
      <c r="AN4" s="719"/>
      <c r="AO4" s="719"/>
      <c r="AP4" s="719"/>
      <c r="AQ4" s="719"/>
    </row>
    <row r="5" spans="1:44">
      <c r="A5" s="160" t="s">
        <v>363</v>
      </c>
      <c r="AF5" s="716" t="str">
        <f>IF(期間変更依頼!$AL$1&lt;&gt;"","注文No:"&amp;期間変更依頼!$AL$1,"")</f>
        <v>注文No:JA1600301</v>
      </c>
      <c r="AG5" s="716"/>
      <c r="AH5" s="716"/>
      <c r="AI5" s="716"/>
      <c r="AJ5" s="716"/>
      <c r="AK5" s="716"/>
      <c r="AL5" s="716"/>
      <c r="AM5" s="716"/>
      <c r="AN5" s="716"/>
      <c r="AO5" s="716"/>
      <c r="AP5" s="716"/>
      <c r="AQ5" s="716"/>
    </row>
    <row r="6" spans="1:44">
      <c r="A6" s="739" t="str">
        <f>IF(外注付託依頼書!$BG$9&lt;&gt;"",外注付託依頼書!$BG$9,"")</f>
        <v/>
      </c>
      <c r="B6" s="739"/>
      <c r="C6" s="739"/>
      <c r="D6" s="739"/>
      <c r="E6" s="739"/>
      <c r="F6" s="739"/>
    </row>
    <row r="7" spans="1:44">
      <c r="B7" s="160" t="str">
        <f>IF(外注付託依頼書!$BG$10&lt;&gt;"",外注付託依頼書!$BG$10,"")</f>
        <v/>
      </c>
      <c r="AG7" s="160" t="s">
        <v>364</v>
      </c>
    </row>
    <row r="8" spans="1:44">
      <c r="A8" s="160" t="str">
        <f>IF(ContractorName&lt;&gt;"",ContractorName,"")</f>
        <v>有限責任事業組合インフラ・アセット・エンジニアリング</v>
      </c>
      <c r="AB8" s="163"/>
      <c r="AC8" s="163"/>
      <c r="AG8" s="211">
        <f>外注付託依頼書!AQ53</f>
        <v>0</v>
      </c>
      <c r="AH8" s="211"/>
      <c r="AI8" s="211"/>
      <c r="AJ8" s="211"/>
      <c r="AK8" s="211"/>
      <c r="AL8" s="211"/>
      <c r="AM8" s="211"/>
      <c r="AN8" s="211"/>
    </row>
    <row r="9" spans="1:44">
      <c r="R9" s="716" t="s">
        <v>365</v>
      </c>
      <c r="S9" s="716"/>
      <c r="T9" s="716"/>
      <c r="AG9" s="211">
        <f>外注付託依頼書!AQ54</f>
        <v>0</v>
      </c>
      <c r="AH9" s="211"/>
      <c r="AI9" s="211"/>
      <c r="AJ9" s="211"/>
      <c r="AK9" s="211"/>
      <c r="AL9" s="211"/>
      <c r="AM9" s="211"/>
      <c r="AN9" s="211"/>
    </row>
    <row r="10" spans="1:44">
      <c r="C10" s="716" t="str">
        <f>IF(外注付託依頼書!G28&lt;&gt;"","（"&amp;外注付託依頼書!G28&amp;")","")</f>
        <v/>
      </c>
      <c r="D10" s="716"/>
      <c r="E10" s="716"/>
      <c r="F10" s="716"/>
      <c r="G10" s="716"/>
      <c r="H10" s="716"/>
      <c r="I10" s="716"/>
      <c r="AG10" s="211">
        <f>外注付託依頼書!AQ49</f>
        <v>0</v>
      </c>
      <c r="AH10" s="211"/>
      <c r="AI10" s="211"/>
      <c r="AJ10" s="211"/>
      <c r="AK10" s="211"/>
      <c r="AL10" s="211"/>
      <c r="AM10" s="211"/>
      <c r="AN10" s="211"/>
    </row>
    <row r="11" spans="1:44">
      <c r="AG11" s="211">
        <f>外注付託依頼書!AQ50</f>
        <v>0</v>
      </c>
      <c r="AH11" s="211"/>
      <c r="AI11" s="211"/>
      <c r="AJ11" s="211"/>
      <c r="AK11" s="211"/>
      <c r="AL11" s="211"/>
      <c r="AM11" s="211"/>
      <c r="AN11" s="211"/>
    </row>
    <row r="12" spans="1:44">
      <c r="AG12" s="192" t="str">
        <f>外注付託依頼書!AQ51 &amp; "  " &amp; 外注付託依頼書!AQ52</f>
        <v xml:space="preserve">  </v>
      </c>
      <c r="AH12" s="192"/>
      <c r="AI12" s="192"/>
      <c r="AJ12" s="192"/>
      <c r="AK12" s="192"/>
      <c r="AL12" s="192"/>
      <c r="AM12" s="192"/>
      <c r="AN12" s="192"/>
    </row>
    <row r="14" spans="1:44">
      <c r="B14" s="163" t="s">
        <v>709</v>
      </c>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N14" s="163"/>
      <c r="AO14" s="163"/>
      <c r="AP14" s="163"/>
      <c r="AQ14" s="163"/>
      <c r="AR14" s="163"/>
    </row>
    <row r="15" spans="1:44">
      <c r="B15" s="163" t="s">
        <v>710</v>
      </c>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row>
    <row r="17" spans="1:44">
      <c r="A17" s="716" t="s">
        <v>182</v>
      </c>
      <c r="B17" s="716"/>
      <c r="C17" s="716"/>
      <c r="D17" s="716"/>
      <c r="E17" s="716"/>
      <c r="F17" s="716"/>
      <c r="G17" s="716"/>
      <c r="H17" s="716"/>
      <c r="I17" s="716"/>
      <c r="J17" s="716"/>
      <c r="K17" s="716"/>
      <c r="L17" s="716"/>
      <c r="M17" s="716"/>
      <c r="N17" s="716"/>
      <c r="O17" s="716"/>
      <c r="P17" s="716"/>
      <c r="Q17" s="716"/>
      <c r="R17" s="716"/>
      <c r="S17" s="716"/>
      <c r="T17" s="716"/>
      <c r="U17" s="716"/>
      <c r="V17" s="716"/>
      <c r="W17" s="716"/>
      <c r="X17" s="716"/>
      <c r="Y17" s="716"/>
      <c r="Z17" s="716"/>
      <c r="AA17" s="716"/>
      <c r="AB17" s="716"/>
      <c r="AC17" s="716"/>
      <c r="AD17" s="716"/>
      <c r="AE17" s="716"/>
      <c r="AF17" s="716"/>
      <c r="AG17" s="716"/>
      <c r="AH17" s="716"/>
      <c r="AI17" s="716"/>
      <c r="AJ17" s="716"/>
      <c r="AK17" s="716"/>
      <c r="AL17" s="716"/>
      <c r="AM17" s="716"/>
      <c r="AN17" s="716"/>
      <c r="AO17" s="716"/>
      <c r="AP17" s="716"/>
      <c r="AQ17" s="716"/>
      <c r="AR17" s="716"/>
    </row>
    <row r="19" spans="1:44">
      <c r="A19" s="160" t="str">
        <f>IF(ContractStyle="国内法人","１．業務担当予定者氏名(丙)　：","１．業務担当予定者氏名　：")</f>
        <v>１．業務担当予定者氏名　：</v>
      </c>
      <c r="L19" s="160" t="str">
        <f>IF(期間変更依頼!$D$18&lt;&gt;"",期間変更依頼!$D$18,"")</f>
        <v/>
      </c>
    </row>
    <row r="20" spans="1:44">
      <c r="B20" s="160" t="str">
        <f>IF(外注付託依頼書!$G$28&lt;&gt;"","（"&amp;RIGHT(外注付託依頼書!$G$28,5) &amp;"）","")</f>
        <v/>
      </c>
    </row>
    <row r="21" spans="1:44">
      <c r="A21" s="160" t="s">
        <v>711</v>
      </c>
      <c r="F21" s="160" t="str">
        <f>IF(期間変更依頼!$D$22&lt;&gt;"",期間変更依頼!$D$22,"")</f>
        <v/>
      </c>
    </row>
    <row r="22" spans="1:44">
      <c r="B22" s="160" t="str">
        <f>IF(期間変更依頼!$D$24&lt;&gt;"","（"&amp;期間変更依頼!$D$24&amp;"）","")</f>
        <v/>
      </c>
    </row>
    <row r="23" spans="1:44">
      <c r="A23" s="160" t="s">
        <v>633</v>
      </c>
      <c r="H23" s="160" t="str">
        <f>IF(担当業務&lt;&gt;"",CONCATENATE(担当業務,"（業務内容は業務内容通知書の通り）"),"")</f>
        <v>Cost Estimator（業務内容は業務内容通知書の通り）</v>
      </c>
    </row>
    <row r="25" spans="1:44">
      <c r="A25" s="160" t="s">
        <v>634</v>
      </c>
      <c r="I25" s="716" t="s">
        <v>360</v>
      </c>
      <c r="J25" s="716"/>
      <c r="K25" s="716"/>
      <c r="L25" s="716"/>
      <c r="M25" s="716"/>
      <c r="N25" s="716"/>
      <c r="O25" s="716"/>
      <c r="P25" s="716"/>
      <c r="Q25" s="716"/>
      <c r="AE25" s="716" t="s">
        <v>391</v>
      </c>
      <c r="AF25" s="716"/>
      <c r="AG25" s="716"/>
      <c r="AH25" s="716"/>
      <c r="AI25" s="716"/>
      <c r="AJ25" s="716"/>
      <c r="AK25" s="716"/>
      <c r="AL25" s="716"/>
      <c r="AM25" s="716"/>
    </row>
    <row r="26" spans="1:44">
      <c r="A26" s="750" t="s">
        <v>131</v>
      </c>
      <c r="B26" s="750"/>
      <c r="C26" s="750"/>
      <c r="D26" s="750"/>
      <c r="E26" s="750"/>
      <c r="F26" s="750"/>
      <c r="G26" s="750" t="s">
        <v>132</v>
      </c>
      <c r="H26" s="750"/>
      <c r="I26" s="750"/>
      <c r="J26" s="750"/>
      <c r="K26" s="750"/>
      <c r="L26" s="750"/>
      <c r="M26" s="750"/>
      <c r="N26" s="750"/>
      <c r="O26" s="750"/>
      <c r="P26" s="750"/>
      <c r="Q26" s="750"/>
      <c r="R26" s="750"/>
      <c r="S26" s="750"/>
      <c r="T26" s="750" t="s">
        <v>216</v>
      </c>
      <c r="U26" s="750"/>
      <c r="V26" s="754"/>
      <c r="W26" s="752" t="s">
        <v>131</v>
      </c>
      <c r="X26" s="750"/>
      <c r="Y26" s="750"/>
      <c r="Z26" s="750"/>
      <c r="AA26" s="750"/>
      <c r="AB26" s="750"/>
      <c r="AC26" s="750" t="s">
        <v>132</v>
      </c>
      <c r="AD26" s="750"/>
      <c r="AE26" s="750"/>
      <c r="AF26" s="750"/>
      <c r="AG26" s="750"/>
      <c r="AH26" s="750"/>
      <c r="AI26" s="750"/>
      <c r="AJ26" s="750"/>
      <c r="AK26" s="750"/>
      <c r="AL26" s="750"/>
      <c r="AM26" s="750"/>
      <c r="AN26" s="750"/>
      <c r="AO26" s="750"/>
      <c r="AP26" s="750" t="s">
        <v>216</v>
      </c>
      <c r="AQ26" s="750"/>
      <c r="AR26" s="750"/>
    </row>
    <row r="27" spans="1:44">
      <c r="A27" s="743" t="str">
        <f>IF(期間変更依頼!D$98&lt;&gt;"",期間変更依頼!D$98,"")</f>
        <v/>
      </c>
      <c r="B27" s="744"/>
      <c r="C27" s="744"/>
      <c r="D27" s="744"/>
      <c r="E27" s="744"/>
      <c r="F27" s="744"/>
      <c r="G27" s="741" t="str">
        <f>IF(期間変更依頼!F98&lt;&gt;"",期間変更依頼!F98,"")</f>
        <v/>
      </c>
      <c r="H27" s="741"/>
      <c r="I27" s="741"/>
      <c r="J27" s="741"/>
      <c r="K27" s="741"/>
      <c r="L27" s="741"/>
      <c r="M27" s="165" t="s">
        <v>366</v>
      </c>
      <c r="N27" s="741" t="str">
        <f>IF(期間変更依頼!L98&lt;&gt;"",期間変更依頼!L98,"")</f>
        <v/>
      </c>
      <c r="O27" s="741"/>
      <c r="P27" s="741"/>
      <c r="Q27" s="741"/>
      <c r="R27" s="741"/>
      <c r="S27" s="741"/>
      <c r="T27" s="748" t="str">
        <f>IF(期間変更依頼!R98&lt;&gt;0,TEXT(期間変更依頼!R98,"(0.00)"),"")</f>
        <v/>
      </c>
      <c r="U27" s="748"/>
      <c r="V27" s="749"/>
      <c r="W27" s="741" t="str">
        <f>IF(期間変更依頼!Z98&lt;&gt;"",期間変更依頼!Z98,"")</f>
        <v/>
      </c>
      <c r="X27" s="741"/>
      <c r="Y27" s="741"/>
      <c r="Z27" s="741"/>
      <c r="AA27" s="741"/>
      <c r="AB27" s="741"/>
      <c r="AC27" s="741" t="str">
        <f>IF(期間変更依頼!AB98&lt;&gt;"",期間変更依頼!AB98,"")</f>
        <v/>
      </c>
      <c r="AD27" s="741"/>
      <c r="AE27" s="741"/>
      <c r="AF27" s="741"/>
      <c r="AG27" s="741"/>
      <c r="AH27" s="741"/>
      <c r="AI27" s="165" t="s">
        <v>366</v>
      </c>
      <c r="AJ27" s="741" t="str">
        <f>IF(期間変更依頼!AH98&lt;&gt;"",期間変更依頼!AH98,"")</f>
        <v/>
      </c>
      <c r="AK27" s="741"/>
      <c r="AL27" s="741"/>
      <c r="AM27" s="741"/>
      <c r="AN27" s="741"/>
      <c r="AO27" s="741"/>
      <c r="AP27" s="753" t="str">
        <f>IF(期間変更依頼!AN98&lt;&gt;0,TEXT(期間変更依頼!AN98,"(0.00)"),"")</f>
        <v/>
      </c>
      <c r="AQ27" s="753"/>
      <c r="AR27" s="753"/>
    </row>
    <row r="28" spans="1:44">
      <c r="A28" s="743" t="str">
        <f>IF(期間変更依頼!$D99&lt;&gt;"",期間変更依頼!$D99,"")</f>
        <v/>
      </c>
      <c r="B28" s="744"/>
      <c r="C28" s="744"/>
      <c r="D28" s="744"/>
      <c r="E28" s="744"/>
      <c r="F28" s="744"/>
      <c r="G28" s="741" t="str">
        <f>IF(期間変更依頼!F99&lt;&gt;"",期間変更依頼!F99,"")</f>
        <v/>
      </c>
      <c r="H28" s="741"/>
      <c r="I28" s="741"/>
      <c r="J28" s="741"/>
      <c r="K28" s="741"/>
      <c r="L28" s="741"/>
      <c r="M28" s="165" t="s">
        <v>366</v>
      </c>
      <c r="N28" s="741" t="str">
        <f>IF(期間変更依頼!L99&lt;&gt;"",期間変更依頼!L99,"")</f>
        <v/>
      </c>
      <c r="O28" s="741"/>
      <c r="P28" s="741"/>
      <c r="Q28" s="741"/>
      <c r="R28" s="741"/>
      <c r="S28" s="741"/>
      <c r="T28" s="746" t="str">
        <f>IF(期間変更依頼!R99&lt;&gt;0,TEXT(期間変更依頼!R99,"(0.00)"),"")</f>
        <v/>
      </c>
      <c r="U28" s="746"/>
      <c r="V28" s="747"/>
      <c r="W28" s="743" t="str">
        <f>IF(期間変更依頼!Z99&lt;&gt;"",期間変更依頼!Z99,"")</f>
        <v/>
      </c>
      <c r="X28" s="744"/>
      <c r="Y28" s="744"/>
      <c r="Z28" s="744"/>
      <c r="AA28" s="744"/>
      <c r="AB28" s="744"/>
      <c r="AC28" s="741" t="str">
        <f>IF(期間変更依頼!AB99&lt;&gt;"",期間変更依頼!AB99,"")</f>
        <v/>
      </c>
      <c r="AD28" s="741"/>
      <c r="AE28" s="741"/>
      <c r="AF28" s="741"/>
      <c r="AG28" s="741"/>
      <c r="AH28" s="741"/>
      <c r="AI28" s="165" t="s">
        <v>366</v>
      </c>
      <c r="AJ28" s="741" t="str">
        <f>IF(期間変更依頼!AH99&lt;&gt;"",期間変更依頼!AH99,"")</f>
        <v/>
      </c>
      <c r="AK28" s="741"/>
      <c r="AL28" s="741"/>
      <c r="AM28" s="741"/>
      <c r="AN28" s="741"/>
      <c r="AO28" s="741"/>
      <c r="AP28" s="751" t="str">
        <f>IF(期間変更依頼!AN99&lt;&gt;0,TEXT(期間変更依頼!AN99,"(0.00)"),"")</f>
        <v/>
      </c>
      <c r="AQ28" s="751"/>
      <c r="AR28" s="751"/>
    </row>
    <row r="29" spans="1:44">
      <c r="A29" s="743" t="str">
        <f>IF(期間変更依頼!$D100&lt;&gt;"",期間変更依頼!$D100,"")</f>
        <v/>
      </c>
      <c r="B29" s="744"/>
      <c r="C29" s="744"/>
      <c r="D29" s="744"/>
      <c r="E29" s="744"/>
      <c r="F29" s="744"/>
      <c r="G29" s="741" t="str">
        <f>IF(期間変更依頼!F100&lt;&gt;"",期間変更依頼!F100,"")</f>
        <v/>
      </c>
      <c r="H29" s="741"/>
      <c r="I29" s="741"/>
      <c r="J29" s="741"/>
      <c r="K29" s="741"/>
      <c r="L29" s="741"/>
      <c r="M29" s="165" t="s">
        <v>366</v>
      </c>
      <c r="N29" s="741" t="str">
        <f>IF(期間変更依頼!L100&lt;&gt;"",期間変更依頼!L100,"")</f>
        <v/>
      </c>
      <c r="O29" s="741"/>
      <c r="P29" s="741"/>
      <c r="Q29" s="741"/>
      <c r="R29" s="741"/>
      <c r="S29" s="741"/>
      <c r="T29" s="746" t="str">
        <f>IF(期間変更依頼!R100&lt;&gt;0,TEXT(期間変更依頼!R100,"(0.00)"),"")</f>
        <v/>
      </c>
      <c r="U29" s="746"/>
      <c r="V29" s="747"/>
      <c r="W29" s="743" t="str">
        <f>IF(期間変更依頼!Z100&lt;&gt;"",期間変更依頼!Z100,"")</f>
        <v/>
      </c>
      <c r="X29" s="744"/>
      <c r="Y29" s="744"/>
      <c r="Z29" s="744"/>
      <c r="AA29" s="744"/>
      <c r="AB29" s="744"/>
      <c r="AC29" s="741" t="str">
        <f>IF(期間変更依頼!AB100&lt;&gt;"",期間変更依頼!AB100,"")</f>
        <v/>
      </c>
      <c r="AD29" s="741"/>
      <c r="AE29" s="741"/>
      <c r="AF29" s="741"/>
      <c r="AG29" s="741"/>
      <c r="AH29" s="741"/>
      <c r="AI29" s="165" t="s">
        <v>366</v>
      </c>
      <c r="AJ29" s="741" t="str">
        <f>IF(期間変更依頼!AH100&lt;&gt;"",期間変更依頼!AH100,"")</f>
        <v/>
      </c>
      <c r="AK29" s="741"/>
      <c r="AL29" s="741"/>
      <c r="AM29" s="741"/>
      <c r="AN29" s="741"/>
      <c r="AO29" s="741"/>
      <c r="AP29" s="751" t="str">
        <f>IF(期間変更依頼!AN100&lt;&gt;0,TEXT(期間変更依頼!AN100,"(0.00)"),"")</f>
        <v/>
      </c>
      <c r="AQ29" s="751"/>
      <c r="AR29" s="751"/>
    </row>
    <row r="30" spans="1:44">
      <c r="A30" s="743" t="str">
        <f>IF(期間変更依頼!$D101&lt;&gt;"",期間変更依頼!$D101,"")</f>
        <v/>
      </c>
      <c r="B30" s="744"/>
      <c r="C30" s="744"/>
      <c r="D30" s="744"/>
      <c r="E30" s="744"/>
      <c r="F30" s="744"/>
      <c r="G30" s="741" t="str">
        <f>IF(期間変更依頼!F101&lt;&gt;"",期間変更依頼!F101,"")</f>
        <v/>
      </c>
      <c r="H30" s="741"/>
      <c r="I30" s="741"/>
      <c r="J30" s="741"/>
      <c r="K30" s="741"/>
      <c r="L30" s="741"/>
      <c r="M30" s="165" t="s">
        <v>366</v>
      </c>
      <c r="N30" s="741" t="str">
        <f>IF(期間変更依頼!L101&lt;&gt;"",期間変更依頼!L101,"")</f>
        <v/>
      </c>
      <c r="O30" s="741"/>
      <c r="P30" s="741"/>
      <c r="Q30" s="741"/>
      <c r="R30" s="741"/>
      <c r="S30" s="741"/>
      <c r="T30" s="746" t="str">
        <f>IF(期間変更依頼!R101&lt;&gt;0,TEXT(期間変更依頼!R101,"(0.00)"),"")</f>
        <v/>
      </c>
      <c r="U30" s="746"/>
      <c r="V30" s="747"/>
      <c r="W30" s="743" t="str">
        <f>IF(期間変更依頼!Z101&lt;&gt;"",期間変更依頼!Z101,"")</f>
        <v/>
      </c>
      <c r="X30" s="744"/>
      <c r="Y30" s="744"/>
      <c r="Z30" s="744"/>
      <c r="AA30" s="744"/>
      <c r="AB30" s="744"/>
      <c r="AC30" s="741" t="str">
        <f>IF(期間変更依頼!AB101&lt;&gt;"",期間変更依頼!AB101,"")</f>
        <v/>
      </c>
      <c r="AD30" s="741"/>
      <c r="AE30" s="741"/>
      <c r="AF30" s="741"/>
      <c r="AG30" s="741"/>
      <c r="AH30" s="741"/>
      <c r="AI30" s="165" t="s">
        <v>366</v>
      </c>
      <c r="AJ30" s="741" t="str">
        <f>IF(期間変更依頼!AH101&lt;&gt;"",期間変更依頼!AH101,"")</f>
        <v/>
      </c>
      <c r="AK30" s="741"/>
      <c r="AL30" s="741"/>
      <c r="AM30" s="741"/>
      <c r="AN30" s="741"/>
      <c r="AO30" s="741"/>
      <c r="AP30" s="751" t="str">
        <f>IF(期間変更依頼!AN101&lt;&gt;0,TEXT(期間変更依頼!AN101,"(0.00)"),"")</f>
        <v/>
      </c>
      <c r="AQ30" s="751"/>
      <c r="AR30" s="751"/>
    </row>
    <row r="31" spans="1:44">
      <c r="A31" s="743" t="str">
        <f>IF(期間変更依頼!$D102&lt;&gt;"",期間変更依頼!$D102,"")</f>
        <v/>
      </c>
      <c r="B31" s="744"/>
      <c r="C31" s="744"/>
      <c r="D31" s="744"/>
      <c r="E31" s="744"/>
      <c r="F31" s="744"/>
      <c r="G31" s="741" t="str">
        <f>IF(期間変更依頼!F102&lt;&gt;"",期間変更依頼!F102,"")</f>
        <v/>
      </c>
      <c r="H31" s="741"/>
      <c r="I31" s="741"/>
      <c r="J31" s="741"/>
      <c r="K31" s="741"/>
      <c r="L31" s="741"/>
      <c r="M31" s="165" t="s">
        <v>366</v>
      </c>
      <c r="N31" s="741" t="str">
        <f>IF(期間変更依頼!L102&lt;&gt;"",期間変更依頼!L102,"")</f>
        <v/>
      </c>
      <c r="O31" s="741"/>
      <c r="P31" s="741"/>
      <c r="Q31" s="741"/>
      <c r="R31" s="741"/>
      <c r="S31" s="741"/>
      <c r="T31" s="746" t="str">
        <f>IF(期間変更依頼!R102&lt;&gt;0,TEXT(期間変更依頼!R102,"(0.00)"),"")</f>
        <v/>
      </c>
      <c r="U31" s="746"/>
      <c r="V31" s="747"/>
      <c r="W31" s="743" t="str">
        <f>IF(期間変更依頼!Z102&lt;&gt;"",期間変更依頼!Z102,"")</f>
        <v/>
      </c>
      <c r="X31" s="744"/>
      <c r="Y31" s="744"/>
      <c r="Z31" s="744"/>
      <c r="AA31" s="744"/>
      <c r="AB31" s="744"/>
      <c r="AC31" s="741" t="str">
        <f>IF(期間変更依頼!AB102&lt;&gt;"",期間変更依頼!AB102,"")</f>
        <v/>
      </c>
      <c r="AD31" s="741"/>
      <c r="AE31" s="741"/>
      <c r="AF31" s="741"/>
      <c r="AG31" s="741"/>
      <c r="AH31" s="741"/>
      <c r="AI31" s="165" t="s">
        <v>366</v>
      </c>
      <c r="AJ31" s="741" t="str">
        <f>IF(期間変更依頼!AH102&lt;&gt;"",期間変更依頼!AH102,"")</f>
        <v/>
      </c>
      <c r="AK31" s="741"/>
      <c r="AL31" s="741"/>
      <c r="AM31" s="741"/>
      <c r="AN31" s="741"/>
      <c r="AO31" s="741"/>
      <c r="AP31" s="751" t="str">
        <f>IF(期間変更依頼!AN102&lt;&gt;0,TEXT(期間変更依頼!AN102,"(0.00)"),"")</f>
        <v/>
      </c>
      <c r="AQ31" s="751"/>
      <c r="AR31" s="751"/>
    </row>
    <row r="32" spans="1:44">
      <c r="A32" s="743" t="str">
        <f>IF(期間変更依頼!$D103&lt;&gt;"",期間変更依頼!$D103,"")</f>
        <v/>
      </c>
      <c r="B32" s="744"/>
      <c r="C32" s="744"/>
      <c r="D32" s="744"/>
      <c r="E32" s="744"/>
      <c r="F32" s="744"/>
      <c r="G32" s="741" t="str">
        <f>IF(期間変更依頼!F103&lt;&gt;"",期間変更依頼!F103,"")</f>
        <v/>
      </c>
      <c r="H32" s="741"/>
      <c r="I32" s="741"/>
      <c r="J32" s="741"/>
      <c r="K32" s="741"/>
      <c r="L32" s="741"/>
      <c r="M32" s="165" t="s">
        <v>366</v>
      </c>
      <c r="N32" s="741" t="str">
        <f>IF(期間変更依頼!L103&lt;&gt;"",期間変更依頼!L103,"")</f>
        <v/>
      </c>
      <c r="O32" s="741"/>
      <c r="P32" s="741"/>
      <c r="Q32" s="741"/>
      <c r="R32" s="741"/>
      <c r="S32" s="741"/>
      <c r="T32" s="746" t="str">
        <f>IF(期間変更依頼!R103&lt;&gt;0,TEXT(期間変更依頼!R103,"(0.00)"),"")</f>
        <v/>
      </c>
      <c r="U32" s="746"/>
      <c r="V32" s="747"/>
      <c r="W32" s="743" t="str">
        <f>IF(期間変更依頼!Z103&lt;&gt;"",期間変更依頼!Z103,"")</f>
        <v/>
      </c>
      <c r="X32" s="744"/>
      <c r="Y32" s="744"/>
      <c r="Z32" s="744"/>
      <c r="AA32" s="744"/>
      <c r="AB32" s="744"/>
      <c r="AC32" s="741" t="str">
        <f>IF(期間変更依頼!AB103&lt;&gt;"",期間変更依頼!AB103,"")</f>
        <v/>
      </c>
      <c r="AD32" s="741"/>
      <c r="AE32" s="741"/>
      <c r="AF32" s="741"/>
      <c r="AG32" s="741"/>
      <c r="AH32" s="741"/>
      <c r="AI32" s="165" t="s">
        <v>366</v>
      </c>
      <c r="AJ32" s="741" t="str">
        <f>IF(期間変更依頼!AH103&lt;&gt;"",期間変更依頼!AH103,"")</f>
        <v/>
      </c>
      <c r="AK32" s="741"/>
      <c r="AL32" s="741"/>
      <c r="AM32" s="741"/>
      <c r="AN32" s="741"/>
      <c r="AO32" s="741"/>
      <c r="AP32" s="751" t="str">
        <f>IF(期間変更依頼!AN103&lt;&gt;0,TEXT(期間変更依頼!AN103,"(0.00)"),"")</f>
        <v/>
      </c>
      <c r="AQ32" s="751"/>
      <c r="AR32" s="751"/>
    </row>
    <row r="33" spans="1:44">
      <c r="A33" s="743" t="str">
        <f>IF(期間変更依頼!$D104&lt;&gt;"",期間変更依頼!$D104,"")</f>
        <v/>
      </c>
      <c r="B33" s="744"/>
      <c r="C33" s="744"/>
      <c r="D33" s="744"/>
      <c r="E33" s="744"/>
      <c r="F33" s="744"/>
      <c r="G33" s="745" t="str">
        <f>IF(期間変更依頼!F104&lt;&gt;"",期間変更依頼!F104,"")</f>
        <v/>
      </c>
      <c r="H33" s="745"/>
      <c r="I33" s="745"/>
      <c r="J33" s="745"/>
      <c r="K33" s="745"/>
      <c r="L33" s="745"/>
      <c r="M33" s="209" t="s">
        <v>366</v>
      </c>
      <c r="N33" s="745" t="str">
        <f>IF(期間変更依頼!L104&lt;&gt;"",期間変更依頼!L104,"")</f>
        <v/>
      </c>
      <c r="O33" s="745"/>
      <c r="P33" s="745"/>
      <c r="Q33" s="745"/>
      <c r="R33" s="745"/>
      <c r="S33" s="745"/>
      <c r="T33" s="746" t="str">
        <f>IF(期間変更依頼!R104&lt;&gt;0,TEXT(期間変更依頼!R104,"(0.00)"),"")</f>
        <v/>
      </c>
      <c r="U33" s="746"/>
      <c r="V33" s="747"/>
      <c r="W33" s="743" t="str">
        <f>IF(期間変更依頼!Z104&lt;&gt;"",期間変更依頼!Z104,"")</f>
        <v/>
      </c>
      <c r="X33" s="744"/>
      <c r="Y33" s="744"/>
      <c r="Z33" s="744"/>
      <c r="AA33" s="744"/>
      <c r="AB33" s="744"/>
      <c r="AC33" s="745" t="str">
        <f>IF(期間変更依頼!AB104&lt;&gt;"",期間変更依頼!AB104,"")</f>
        <v/>
      </c>
      <c r="AD33" s="745"/>
      <c r="AE33" s="745"/>
      <c r="AF33" s="745"/>
      <c r="AG33" s="745"/>
      <c r="AH33" s="745"/>
      <c r="AI33" s="209" t="s">
        <v>366</v>
      </c>
      <c r="AJ33" s="745" t="str">
        <f>IF(期間変更依頼!AH104&lt;&gt;"",期間変更依頼!AH104,"")</f>
        <v/>
      </c>
      <c r="AK33" s="745"/>
      <c r="AL33" s="745"/>
      <c r="AM33" s="745"/>
      <c r="AN33" s="745"/>
      <c r="AO33" s="745"/>
      <c r="AP33" s="718" t="str">
        <f>IF(期間変更依頼!AN104&lt;&gt;0,TEXT(期間変更依頼!AN104,"(0.00)"),"")</f>
        <v/>
      </c>
      <c r="AQ33" s="718"/>
      <c r="AR33" s="718"/>
    </row>
    <row r="34" spans="1:44">
      <c r="A34" s="206"/>
      <c r="B34" s="206"/>
      <c r="C34" s="206"/>
      <c r="D34" s="206"/>
      <c r="E34" s="206"/>
      <c r="F34" s="206"/>
      <c r="G34" s="207"/>
      <c r="H34" s="207"/>
      <c r="I34" s="207"/>
      <c r="J34" s="207"/>
      <c r="K34" s="207"/>
      <c r="L34" s="207"/>
      <c r="M34" s="207"/>
      <c r="N34" s="207"/>
      <c r="O34" s="207"/>
      <c r="P34" s="742" t="s">
        <v>392</v>
      </c>
      <c r="Q34" s="742"/>
      <c r="R34" s="742"/>
      <c r="S34" s="742"/>
      <c r="T34" s="748" t="str">
        <f>IF(期間変更依頼!Q116&lt;&gt;0,期間変更依頼!Q116,"")</f>
        <v/>
      </c>
      <c r="U34" s="748"/>
      <c r="V34" s="749"/>
      <c r="W34" s="208"/>
      <c r="X34" s="206"/>
      <c r="Y34" s="206"/>
      <c r="Z34" s="206"/>
      <c r="AA34" s="206"/>
      <c r="AB34" s="206"/>
      <c r="AC34" s="207"/>
      <c r="AD34" s="207"/>
      <c r="AE34" s="207"/>
      <c r="AF34" s="207"/>
      <c r="AG34" s="207"/>
      <c r="AH34" s="207"/>
      <c r="AI34" s="207"/>
      <c r="AJ34" s="207"/>
      <c r="AK34" s="207"/>
      <c r="AL34" s="742" t="s">
        <v>392</v>
      </c>
      <c r="AM34" s="742"/>
      <c r="AN34" s="742"/>
      <c r="AO34" s="742"/>
      <c r="AP34" s="748" t="str">
        <f>IF(期間変更依頼!AM116&lt;&gt;0,期間変更依頼!AM116,"")</f>
        <v/>
      </c>
      <c r="AQ34" s="748"/>
      <c r="AR34" s="748"/>
    </row>
    <row r="35" spans="1:44">
      <c r="A35" s="164"/>
      <c r="B35" s="164"/>
      <c r="C35" s="164"/>
      <c r="D35" s="164"/>
      <c r="E35" s="164"/>
      <c r="F35" s="164"/>
      <c r="G35" s="165"/>
      <c r="H35" s="165"/>
      <c r="I35" s="165"/>
      <c r="J35" s="165"/>
      <c r="K35" s="165"/>
      <c r="L35" s="165"/>
      <c r="M35" s="165"/>
      <c r="N35" s="165"/>
      <c r="O35" s="165"/>
      <c r="P35" s="165"/>
      <c r="Q35" s="165"/>
      <c r="R35" s="165"/>
      <c r="S35" s="165"/>
      <c r="T35" s="166"/>
      <c r="U35" s="166"/>
      <c r="V35" s="170"/>
      <c r="W35" s="173"/>
      <c r="X35" s="173"/>
      <c r="Y35" s="173"/>
      <c r="Z35" s="173"/>
      <c r="AA35" s="173"/>
      <c r="AB35" s="173"/>
      <c r="AC35" s="165"/>
      <c r="AD35" s="165"/>
      <c r="AE35" s="165"/>
      <c r="AF35" s="165"/>
      <c r="AG35" s="165"/>
      <c r="AH35" s="165"/>
      <c r="AI35" s="165"/>
      <c r="AJ35" s="165"/>
      <c r="AK35" s="165"/>
      <c r="AL35" s="165"/>
      <c r="AM35" s="165"/>
      <c r="AN35" s="165"/>
      <c r="AO35" s="165"/>
      <c r="AP35" s="166"/>
      <c r="AQ35" s="166"/>
      <c r="AR35" s="166"/>
    </row>
    <row r="36" spans="1:44">
      <c r="A36" s="160" t="s">
        <v>638</v>
      </c>
      <c r="H36" s="732" t="s">
        <v>45</v>
      </c>
      <c r="I36" s="732"/>
      <c r="J36" s="732"/>
      <c r="K36" s="732"/>
      <c r="L36" s="174"/>
      <c r="M36" s="175" t="s">
        <v>370</v>
      </c>
      <c r="N36" s="723">
        <f>+N37+AC37</f>
        <v>0</v>
      </c>
      <c r="O36" s="723"/>
      <c r="P36" s="723"/>
      <c r="Q36" s="723"/>
      <c r="R36" s="723"/>
      <c r="S36" s="723"/>
      <c r="T36" s="723"/>
      <c r="U36" s="176" t="s">
        <v>371</v>
      </c>
      <c r="W36" s="177"/>
      <c r="X36" s="177"/>
      <c r="Y36" s="177"/>
      <c r="Z36" s="177"/>
      <c r="AA36" s="177"/>
      <c r="AB36" s="177"/>
      <c r="AC36" s="177"/>
      <c r="AD36" s="177"/>
      <c r="AP36" s="163"/>
    </row>
    <row r="37" spans="1:44">
      <c r="E37" s="716" t="s">
        <v>372</v>
      </c>
      <c r="F37" s="716"/>
      <c r="G37" s="716"/>
      <c r="H37" s="725" t="s">
        <v>45</v>
      </c>
      <c r="I37" s="725"/>
      <c r="J37" s="725"/>
      <c r="K37" s="725"/>
      <c r="L37" s="178"/>
      <c r="M37" s="179" t="s">
        <v>615</v>
      </c>
      <c r="N37" s="721">
        <f>+AD45</f>
        <v>0</v>
      </c>
      <c r="O37" s="721"/>
      <c r="P37" s="721"/>
      <c r="Q37" s="721"/>
      <c r="R37" s="721"/>
      <c r="S37" s="721"/>
      <c r="T37" s="721"/>
      <c r="U37" s="180" t="s">
        <v>616</v>
      </c>
      <c r="W37" s="177"/>
      <c r="X37" s="732" t="s">
        <v>373</v>
      </c>
      <c r="Y37" s="732"/>
      <c r="Z37" s="732"/>
      <c r="AA37" s="732"/>
      <c r="AB37" s="174" t="s">
        <v>374</v>
      </c>
      <c r="AC37" s="723">
        <f>ROUNDDOWN(N37*期間変更依頼!AP81,0)</f>
        <v>0</v>
      </c>
      <c r="AD37" s="723"/>
      <c r="AE37" s="723"/>
      <c r="AF37" s="723"/>
      <c r="AG37" s="723"/>
      <c r="AH37" s="723"/>
      <c r="AI37" s="176" t="s">
        <v>375</v>
      </c>
    </row>
    <row r="38" spans="1:44">
      <c r="H38" s="716" t="s">
        <v>376</v>
      </c>
      <c r="I38" s="716"/>
      <c r="J38" s="716"/>
      <c r="K38" s="716"/>
      <c r="L38" s="162"/>
      <c r="M38" s="165" t="s">
        <v>377</v>
      </c>
      <c r="N38" s="724">
        <f>IF(期間変更依頼!$H$33="JPY",IF(期間変更依頼!$O33&lt;&gt;0,期間変更依頼!$O33,""),0)</f>
        <v>0</v>
      </c>
      <c r="O38" s="724"/>
      <c r="P38" s="724"/>
      <c r="Q38" s="724"/>
      <c r="R38" s="724"/>
      <c r="S38" s="724"/>
      <c r="T38" s="724"/>
      <c r="W38" s="177" t="s">
        <v>378</v>
      </c>
      <c r="X38" s="727">
        <f>IF(期間変更依頼!$H$33="JPY",IF(期間変更依頼!$X33&lt;&gt;0,期間変更依頼!$X33,""),0)</f>
        <v>0</v>
      </c>
      <c r="Y38" s="727"/>
      <c r="Z38" s="727"/>
      <c r="AA38" s="727" t="str">
        <f>IF(期間変更依頼!$H$33="JPY",IF(期間変更依頼!Z33&lt;&gt;"",期間変更依頼!Z33,""),"")</f>
        <v/>
      </c>
      <c r="AB38" s="727"/>
      <c r="AC38" s="177" t="s">
        <v>379</v>
      </c>
      <c r="AD38" s="731">
        <f>IF(期間変更依頼!$H$33="JPY",IF(期間変更依頼!$AD33&lt;&gt;0,期間変更依頼!$AD33,""),0)</f>
        <v>0</v>
      </c>
      <c r="AE38" s="731"/>
      <c r="AF38" s="731"/>
      <c r="AG38" s="731"/>
      <c r="AH38" s="731"/>
      <c r="AI38" s="731"/>
    </row>
    <row r="39" spans="1:44">
      <c r="H39" s="716" t="s">
        <v>93</v>
      </c>
      <c r="I39" s="716"/>
      <c r="J39" s="716"/>
      <c r="K39" s="716"/>
      <c r="M39" s="165" t="s">
        <v>377</v>
      </c>
      <c r="N39" s="724">
        <f>IF(期間変更依頼!$H$42="JPY",IF(期間変更依頼!$O42&lt;&gt;0,期間変更依頼!$O42,""),0)</f>
        <v>0</v>
      </c>
      <c r="O39" s="724"/>
      <c r="P39" s="724"/>
      <c r="Q39" s="724"/>
      <c r="R39" s="724"/>
      <c r="S39" s="724"/>
      <c r="T39" s="724"/>
      <c r="W39" s="177" t="s">
        <v>378</v>
      </c>
      <c r="X39" s="727">
        <f>IF(期間変更依頼!$H$42="JPY",IF(期間変更依頼!$X42&lt;&gt;0,期間変更依頼!$X42,""),0)</f>
        <v>0</v>
      </c>
      <c r="Y39" s="727"/>
      <c r="Z39" s="727"/>
      <c r="AA39" s="727" t="str">
        <f>IF(期間変更依頼!$H$42="JPY",IF(期間変更依頼!$Z42&lt;&gt;"",期間変更依頼!$Z42,""),"")</f>
        <v/>
      </c>
      <c r="AB39" s="727"/>
      <c r="AC39" s="177" t="s">
        <v>379</v>
      </c>
      <c r="AD39" s="731">
        <f>IF(期間変更依頼!$H$42="JPY",IF(期間変更依頼!$AD42&lt;&gt;0,期間変更依頼!$AD42,""),0)</f>
        <v>0</v>
      </c>
      <c r="AE39" s="731"/>
      <c r="AF39" s="731"/>
      <c r="AG39" s="731"/>
      <c r="AH39" s="731"/>
      <c r="AI39" s="731"/>
    </row>
    <row r="40" spans="1:44">
      <c r="H40" s="716" t="s">
        <v>99</v>
      </c>
      <c r="I40" s="716"/>
      <c r="J40" s="716"/>
      <c r="K40" s="716"/>
      <c r="M40" s="165" t="s">
        <v>377</v>
      </c>
      <c r="N40" s="724">
        <f>IF(期間変更依頼!$H$50="JPY",IF(期間変更依頼!$O$50&lt;&gt;0,期間変更依頼!$O$50,""),0)</f>
        <v>0</v>
      </c>
      <c r="O40" s="724"/>
      <c r="P40" s="724"/>
      <c r="Q40" s="724"/>
      <c r="R40" s="724"/>
      <c r="S40" s="724"/>
      <c r="T40" s="724"/>
      <c r="W40" s="177" t="s">
        <v>378</v>
      </c>
      <c r="X40" s="727">
        <f>IF(期間変更依頼!$H$50="JPY",IF(期間変更依頼!$X$50&lt;&gt;0,期間変更依頼!$X$50,""),0)</f>
        <v>0</v>
      </c>
      <c r="Y40" s="727"/>
      <c r="Z40" s="727"/>
      <c r="AA40" s="727" t="str">
        <f>IF(期間変更依頼!$H$50="JPY",IF(期間変更依頼!$Z$50&lt;&gt;"",期間変更依頼!$Z$50,""),"")</f>
        <v/>
      </c>
      <c r="AB40" s="727"/>
      <c r="AC40" s="177" t="s">
        <v>379</v>
      </c>
      <c r="AD40" s="731">
        <f>IF(期間変更依頼!$H$50="JPY",IF(期間変更依頼!$AD$50&lt;&gt;0,期間変更依頼!$AD$50,""),0)</f>
        <v>0</v>
      </c>
      <c r="AE40" s="731"/>
      <c r="AF40" s="731"/>
      <c r="AG40" s="731"/>
      <c r="AH40" s="731"/>
      <c r="AI40" s="731"/>
    </row>
    <row r="41" spans="1:44">
      <c r="H41" s="716" t="s">
        <v>55</v>
      </c>
      <c r="I41" s="716"/>
      <c r="J41" s="716"/>
      <c r="K41" s="716"/>
      <c r="M41" s="165" t="s">
        <v>377</v>
      </c>
      <c r="N41" s="724"/>
      <c r="O41" s="724"/>
      <c r="P41" s="724"/>
      <c r="Q41" s="724"/>
      <c r="R41" s="724"/>
      <c r="S41" s="724"/>
      <c r="T41" s="724"/>
      <c r="W41" s="177" t="s">
        <v>378</v>
      </c>
      <c r="X41" s="727"/>
      <c r="Y41" s="727"/>
      <c r="Z41" s="727"/>
      <c r="AA41" s="727"/>
      <c r="AB41" s="727"/>
      <c r="AC41" s="177" t="s">
        <v>379</v>
      </c>
      <c r="AD41" s="731">
        <f>N41</f>
        <v>0</v>
      </c>
      <c r="AE41" s="731"/>
      <c r="AF41" s="731"/>
      <c r="AG41" s="731"/>
      <c r="AH41" s="731"/>
      <c r="AI41" s="731"/>
    </row>
    <row r="42" spans="1:44">
      <c r="H42" s="716" t="str">
        <f>IF(期間変更依頼!D65&lt;&gt;"",期間変更依頼!D65,"")</f>
        <v/>
      </c>
      <c r="I42" s="716"/>
      <c r="J42" s="716"/>
      <c r="K42" s="716"/>
      <c r="M42" s="165" t="s">
        <v>377</v>
      </c>
      <c r="N42" s="724">
        <f>IF(期間変更依頼!$H$67="JPY",IF(期間変更依頼!$O$67&lt;&gt;0,期間変更依頼!$O$67,""),0)</f>
        <v>0</v>
      </c>
      <c r="O42" s="724"/>
      <c r="P42" s="724"/>
      <c r="Q42" s="724"/>
      <c r="R42" s="724"/>
      <c r="S42" s="724"/>
      <c r="T42" s="724"/>
      <c r="W42" s="177" t="s">
        <v>378</v>
      </c>
      <c r="X42" s="727">
        <f>IF(期間変更依頼!$H$67="JPY",IF(期間変更依頼!$X$67&lt;&gt;0,期間変更依頼!$X$67,""),0)</f>
        <v>0</v>
      </c>
      <c r="Y42" s="727"/>
      <c r="Z42" s="727"/>
      <c r="AA42" s="727" t="str">
        <f>IF(期間変更依頼!$H$67="JPY",IF(期間変更依頼!$Z$67&lt;&gt;"",期間変更依頼!$Z$67,""),"")</f>
        <v/>
      </c>
      <c r="AB42" s="727"/>
      <c r="AC42" s="177" t="s">
        <v>379</v>
      </c>
      <c r="AD42" s="731">
        <f>IF(期間変更依頼!$H$67="JPY",IF(期間変更依頼!$AD$67&lt;&gt;0,期間変更依頼!$AD$67,""),0)</f>
        <v>0</v>
      </c>
      <c r="AE42" s="731"/>
      <c r="AF42" s="731"/>
      <c r="AG42" s="731"/>
      <c r="AH42" s="731"/>
      <c r="AI42" s="731"/>
    </row>
    <row r="43" spans="1:44">
      <c r="H43" s="716" t="str">
        <f>IF(期間変更依頼!D70&lt;&gt;"",期間変更依頼!D70,"")</f>
        <v/>
      </c>
      <c r="I43" s="716"/>
      <c r="J43" s="716"/>
      <c r="K43" s="716"/>
      <c r="M43" s="165" t="s">
        <v>377</v>
      </c>
      <c r="N43" s="724">
        <f>IF(期間変更依頼!$H$72="JPY",IF(期間変更依頼!$O$72&lt;&gt;0,期間変更依頼!$O$72,""),0)</f>
        <v>0</v>
      </c>
      <c r="O43" s="724"/>
      <c r="P43" s="724"/>
      <c r="Q43" s="724"/>
      <c r="R43" s="724"/>
      <c r="S43" s="724"/>
      <c r="T43" s="724"/>
      <c r="W43" s="177" t="s">
        <v>378</v>
      </c>
      <c r="X43" s="727">
        <f>IF(期間変更依頼!$H$72="JPY",IF(期間変更依頼!$X$72&lt;&gt;0,期間変更依頼!$X$72,""),0)</f>
        <v>0</v>
      </c>
      <c r="Y43" s="727"/>
      <c r="Z43" s="727"/>
      <c r="AA43" s="727" t="str">
        <f>IF(期間変更依頼!$H$72="JPY",IF(期間変更依頼!$Z$72&lt;&gt;"",期間変更依頼!$Z$72,""),"")</f>
        <v/>
      </c>
      <c r="AB43" s="727"/>
      <c r="AC43" s="177" t="s">
        <v>379</v>
      </c>
      <c r="AD43" s="731">
        <f>IF(期間変更依頼!$H$72="JPY",IF(期間変更依頼!$AD$72&lt;&gt;0,期間変更依頼!$AD$72,""),0)</f>
        <v>0</v>
      </c>
      <c r="AE43" s="731"/>
      <c r="AF43" s="731"/>
      <c r="AG43" s="731"/>
      <c r="AH43" s="731"/>
      <c r="AI43" s="731"/>
    </row>
    <row r="44" spans="1:44">
      <c r="H44" s="735" t="str">
        <f>IF(期間変更依頼!D75&lt;&gt;"",期間変更依頼!D75,"")</f>
        <v/>
      </c>
      <c r="I44" s="735"/>
      <c r="J44" s="735"/>
      <c r="K44" s="735"/>
      <c r="L44" s="183"/>
      <c r="M44" s="184" t="s">
        <v>377</v>
      </c>
      <c r="N44" s="726">
        <f>IF(期間変更依頼!$H$77="JPY",IF(期間変更依頼!$O$77&lt;&gt;0,期間変更依頼!$O$77,""),0)</f>
        <v>0</v>
      </c>
      <c r="O44" s="726"/>
      <c r="P44" s="726"/>
      <c r="Q44" s="726"/>
      <c r="R44" s="726"/>
      <c r="S44" s="726"/>
      <c r="T44" s="726"/>
      <c r="U44" s="183"/>
      <c r="V44" s="183"/>
      <c r="W44" s="183" t="s">
        <v>378</v>
      </c>
      <c r="X44" s="735">
        <f>IF(期間変更依頼!$H$77="JPY",IF(期間変更依頼!$X$77&lt;&gt;0,期間変更依頼!$X$77,""),0)</f>
        <v>0</v>
      </c>
      <c r="Y44" s="735"/>
      <c r="Z44" s="735"/>
      <c r="AA44" s="735" t="str">
        <f>IF(期間変更依頼!$H$77="JPY",IF(期間変更依頼!$Z$77&lt;&gt;"",期間変更依頼!$Z$77,""),"")</f>
        <v/>
      </c>
      <c r="AB44" s="735"/>
      <c r="AC44" s="183" t="s">
        <v>379</v>
      </c>
      <c r="AD44" s="726">
        <f>IF(期間変更依頼!$H$77="JPY",IF(期間変更依頼!$AD$77&lt;&gt;0,期間変更依頼!$AD$77,""),0)</f>
        <v>0</v>
      </c>
      <c r="AE44" s="726"/>
      <c r="AF44" s="726"/>
      <c r="AG44" s="726"/>
      <c r="AH44" s="726"/>
      <c r="AI44" s="726"/>
    </row>
    <row r="45" spans="1:44">
      <c r="W45" s="177"/>
      <c r="X45" s="177"/>
      <c r="AA45" s="716" t="s">
        <v>103</v>
      </c>
      <c r="AB45" s="716"/>
      <c r="AC45" s="716"/>
      <c r="AD45" s="724">
        <f>SUM(AD38:AI44)</f>
        <v>0</v>
      </c>
      <c r="AE45" s="720"/>
      <c r="AF45" s="720"/>
      <c r="AG45" s="720"/>
      <c r="AH45" s="720"/>
      <c r="AI45" s="720"/>
    </row>
    <row r="46" spans="1:44">
      <c r="W46" s="177"/>
      <c r="X46" s="177"/>
      <c r="AA46" s="716"/>
      <c r="AB46" s="716"/>
      <c r="AC46" s="716"/>
      <c r="AD46" s="724"/>
      <c r="AE46" s="724"/>
      <c r="AF46" s="724"/>
      <c r="AG46" s="724"/>
      <c r="AH46" s="724"/>
      <c r="AI46" s="724"/>
    </row>
    <row r="47" spans="1:44" ht="41.1" customHeight="1">
      <c r="A47" s="257" t="s">
        <v>636</v>
      </c>
      <c r="G47" s="734" t="str">
        <f>IF(期間変更依頼!H130&lt;&gt;"",期間変更依頼!H130,"")</f>
        <v/>
      </c>
      <c r="H47" s="734"/>
      <c r="I47" s="734"/>
      <c r="J47" s="734"/>
      <c r="K47" s="734"/>
      <c r="L47" s="734"/>
      <c r="M47" s="734"/>
      <c r="N47" s="734"/>
      <c r="O47" s="734"/>
      <c r="P47" s="734"/>
      <c r="Q47" s="734"/>
      <c r="R47" s="734"/>
      <c r="S47" s="734"/>
      <c r="T47" s="734"/>
      <c r="U47" s="734"/>
      <c r="V47" s="734"/>
      <c r="W47" s="734"/>
      <c r="X47" s="734"/>
      <c r="Y47" s="734"/>
      <c r="Z47" s="734"/>
      <c r="AA47" s="734"/>
      <c r="AB47" s="734"/>
      <c r="AC47" s="734"/>
      <c r="AD47" s="734"/>
      <c r="AE47" s="734"/>
      <c r="AF47" s="734"/>
      <c r="AG47" s="734"/>
      <c r="AH47" s="734"/>
      <c r="AI47" s="734"/>
      <c r="AJ47" s="734"/>
      <c r="AK47" s="734"/>
      <c r="AL47" s="734"/>
      <c r="AM47" s="734"/>
      <c r="AN47" s="734"/>
      <c r="AO47" s="734"/>
    </row>
    <row r="48" spans="1:44" ht="41.1" customHeight="1">
      <c r="G48" s="734"/>
      <c r="H48" s="734"/>
      <c r="I48" s="734"/>
      <c r="J48" s="734"/>
      <c r="K48" s="734"/>
      <c r="L48" s="734"/>
      <c r="M48" s="734"/>
      <c r="N48" s="734"/>
      <c r="O48" s="734"/>
      <c r="P48" s="734"/>
      <c r="Q48" s="734"/>
      <c r="R48" s="734"/>
      <c r="S48" s="734"/>
      <c r="T48" s="734"/>
      <c r="U48" s="734"/>
      <c r="V48" s="734"/>
      <c r="W48" s="734"/>
      <c r="X48" s="734"/>
      <c r="Y48" s="734"/>
      <c r="Z48" s="734"/>
      <c r="AA48" s="734"/>
      <c r="AB48" s="734"/>
      <c r="AC48" s="734"/>
      <c r="AD48" s="734"/>
      <c r="AE48" s="734"/>
      <c r="AF48" s="734"/>
      <c r="AG48" s="734"/>
      <c r="AH48" s="734"/>
      <c r="AI48" s="734"/>
      <c r="AJ48" s="734"/>
      <c r="AK48" s="734"/>
      <c r="AL48" s="734"/>
      <c r="AM48" s="734"/>
      <c r="AN48" s="734"/>
      <c r="AO48" s="734"/>
    </row>
    <row r="49" spans="1:42" ht="41.1" customHeight="1">
      <c r="G49" s="734"/>
      <c r="H49" s="734"/>
      <c r="I49" s="734"/>
      <c r="J49" s="734"/>
      <c r="K49" s="734"/>
      <c r="L49" s="734"/>
      <c r="M49" s="734"/>
      <c r="N49" s="734"/>
      <c r="O49" s="734"/>
      <c r="P49" s="734"/>
      <c r="Q49" s="734"/>
      <c r="R49" s="734"/>
      <c r="S49" s="734"/>
      <c r="T49" s="734"/>
      <c r="U49" s="734"/>
      <c r="V49" s="734"/>
      <c r="W49" s="734"/>
      <c r="X49" s="734"/>
      <c r="Y49" s="734"/>
      <c r="Z49" s="734"/>
      <c r="AA49" s="734"/>
      <c r="AB49" s="734"/>
      <c r="AC49" s="734"/>
      <c r="AD49" s="734"/>
      <c r="AE49" s="734"/>
      <c r="AF49" s="734"/>
      <c r="AG49" s="734"/>
      <c r="AH49" s="734"/>
      <c r="AI49" s="734"/>
      <c r="AJ49" s="734"/>
      <c r="AK49" s="734"/>
      <c r="AL49" s="734"/>
      <c r="AM49" s="734"/>
      <c r="AN49" s="734"/>
      <c r="AO49" s="734"/>
    </row>
    <row r="50" spans="1:42" ht="41.1" customHeight="1">
      <c r="G50" s="734"/>
      <c r="H50" s="734"/>
      <c r="I50" s="734"/>
      <c r="J50" s="734"/>
      <c r="K50" s="734"/>
      <c r="L50" s="734"/>
      <c r="M50" s="734"/>
      <c r="N50" s="734"/>
      <c r="O50" s="734"/>
      <c r="P50" s="734"/>
      <c r="Q50" s="734"/>
      <c r="R50" s="734"/>
      <c r="S50" s="734"/>
      <c r="T50" s="734"/>
      <c r="U50" s="734"/>
      <c r="V50" s="734"/>
      <c r="W50" s="734"/>
      <c r="X50" s="734"/>
      <c r="Y50" s="734"/>
      <c r="Z50" s="734"/>
      <c r="AA50" s="734"/>
      <c r="AB50" s="734"/>
      <c r="AC50" s="734"/>
      <c r="AD50" s="734"/>
      <c r="AE50" s="734"/>
      <c r="AF50" s="734"/>
      <c r="AG50" s="734"/>
      <c r="AH50" s="734"/>
      <c r="AI50" s="734"/>
      <c r="AJ50" s="734"/>
      <c r="AK50" s="734"/>
      <c r="AL50" s="734"/>
      <c r="AM50" s="734"/>
      <c r="AN50" s="734"/>
      <c r="AO50" s="734"/>
    </row>
    <row r="52" spans="1:42">
      <c r="A52" s="160" t="s">
        <v>712</v>
      </c>
    </row>
    <row r="54" spans="1:42" hidden="1"/>
    <row r="55" spans="1:42" hidden="1"/>
    <row r="56" spans="1:42">
      <c r="A56" s="160" t="s">
        <v>637</v>
      </c>
      <c r="G56" s="160" t="s">
        <v>380</v>
      </c>
    </row>
    <row r="57" spans="1:42">
      <c r="G57" s="160" t="s">
        <v>381</v>
      </c>
    </row>
    <row r="58" spans="1:42">
      <c r="I58" s="716" t="s">
        <v>382</v>
      </c>
      <c r="J58" s="716"/>
      <c r="K58" s="716"/>
      <c r="L58" s="716"/>
      <c r="M58" s="716"/>
      <c r="N58" s="716"/>
      <c r="O58" s="162" t="s">
        <v>383</v>
      </c>
      <c r="P58" s="729" t="str">
        <f>IF(期間変更依頼!$D$20&lt;&gt;"",LEFT(期間変更依頼!$D$20,10),"")</f>
        <v/>
      </c>
      <c r="Q58" s="729"/>
      <c r="R58" s="729"/>
      <c r="S58" s="729"/>
      <c r="T58" s="729"/>
      <c r="U58" s="729"/>
      <c r="V58" s="729"/>
      <c r="W58" s="729"/>
      <c r="X58" s="729"/>
      <c r="Y58" s="729"/>
    </row>
    <row r="59" spans="1:42">
      <c r="I59" s="716" t="s">
        <v>82</v>
      </c>
      <c r="J59" s="716"/>
      <c r="K59" s="716"/>
      <c r="L59" s="716"/>
      <c r="M59" s="716"/>
      <c r="N59" s="716"/>
      <c r="O59" s="162" t="s">
        <v>384</v>
      </c>
      <c r="P59" s="729" t="str">
        <f>IF(期間変更依頼!$D$24&lt;&gt;"",期間変更依頼!$D$24,"")</f>
        <v/>
      </c>
      <c r="Q59" s="729"/>
      <c r="R59" s="729"/>
      <c r="S59" s="729"/>
      <c r="T59" s="729"/>
      <c r="U59" s="729"/>
      <c r="V59" s="729"/>
      <c r="W59" s="729"/>
      <c r="X59" s="729"/>
      <c r="Y59" s="729"/>
    </row>
    <row r="60" spans="1:42">
      <c r="I60" s="716" t="s">
        <v>385</v>
      </c>
      <c r="J60" s="716"/>
      <c r="K60" s="716"/>
      <c r="L60" s="716"/>
      <c r="M60" s="716"/>
      <c r="N60" s="716"/>
      <c r="O60" s="162" t="s">
        <v>386</v>
      </c>
      <c r="P60" s="729" t="str">
        <f>IF(期間変更依頼!$AL$1&lt;&gt;0,期間変更依頼!$AL$1,"")</f>
        <v>JA1600301</v>
      </c>
      <c r="Q60" s="729"/>
      <c r="R60" s="729"/>
      <c r="S60" s="729"/>
      <c r="T60" s="729"/>
      <c r="U60" s="729"/>
      <c r="V60" s="729"/>
      <c r="W60" s="729"/>
      <c r="X60" s="729"/>
      <c r="Y60" s="729"/>
    </row>
    <row r="61" spans="1:42">
      <c r="AG61" s="720" t="s">
        <v>387</v>
      </c>
      <c r="AH61" s="720"/>
      <c r="AI61" s="720"/>
      <c r="AJ61" s="720"/>
      <c r="AK61" s="720"/>
      <c r="AL61" s="720"/>
      <c r="AM61" s="720"/>
      <c r="AN61" s="720"/>
      <c r="AO61" s="720"/>
      <c r="AP61" s="720"/>
    </row>
    <row r="62" spans="1:42">
      <c r="C62" s="160" t="str">
        <f>IF(期間変更依頼!$AK$12&lt;&gt;"","写）　"&amp;期間変更依頼!$AK$12&amp;"　　　　　⇒　Project　Office","")</f>
        <v/>
      </c>
      <c r="AG62" s="720" t="str">
        <f>IF(期間変更依頼!$AL$1&lt;&gt;0,"注文ＮＯ："&amp;期間変更依頼!$AL$1,"")</f>
        <v>注文ＮＯ：JA1600301</v>
      </c>
      <c r="AH62" s="720"/>
      <c r="AI62" s="720"/>
      <c r="AJ62" s="720"/>
      <c r="AK62" s="720"/>
      <c r="AL62" s="720"/>
      <c r="AM62" s="720"/>
      <c r="AN62" s="720"/>
      <c r="AO62" s="720"/>
      <c r="AP62" s="720"/>
    </row>
  </sheetData>
  <mergeCells count="130">
    <mergeCell ref="AA46:AC46"/>
    <mergeCell ref="A27:F27"/>
    <mergeCell ref="G27:L27"/>
    <mergeCell ref="N27:S27"/>
    <mergeCell ref="C10:I10"/>
    <mergeCell ref="AD46:AI46"/>
    <mergeCell ref="G47:AO50"/>
    <mergeCell ref="AG62:AP62"/>
    <mergeCell ref="AG61:AP61"/>
    <mergeCell ref="I59:N59"/>
    <mergeCell ref="I60:N60"/>
    <mergeCell ref="P59:Y59"/>
    <mergeCell ref="P60:Y60"/>
    <mergeCell ref="I58:N58"/>
    <mergeCell ref="P58:Y58"/>
    <mergeCell ref="E37:G37"/>
    <mergeCell ref="A17:AR17"/>
    <mergeCell ref="I25:Q25"/>
    <mergeCell ref="AE25:AM25"/>
    <mergeCell ref="AC29:AH29"/>
    <mergeCell ref="AJ29:AO29"/>
    <mergeCell ref="AP29:AR29"/>
    <mergeCell ref="AJ27:AO27"/>
    <mergeCell ref="A26:F26"/>
    <mergeCell ref="T29:V29"/>
    <mergeCell ref="A28:F28"/>
    <mergeCell ref="A30:F30"/>
    <mergeCell ref="AF4:AQ4"/>
    <mergeCell ref="AF5:AQ5"/>
    <mergeCell ref="R9:T9"/>
    <mergeCell ref="AP27:AR27"/>
    <mergeCell ref="AC26:AO26"/>
    <mergeCell ref="G26:S26"/>
    <mergeCell ref="T26:V26"/>
    <mergeCell ref="W28:AB28"/>
    <mergeCell ref="A29:F29"/>
    <mergeCell ref="G29:L29"/>
    <mergeCell ref="N29:S29"/>
    <mergeCell ref="A6:F6"/>
    <mergeCell ref="W29:AB29"/>
    <mergeCell ref="T30:V30"/>
    <mergeCell ref="W30:AB30"/>
    <mergeCell ref="AC30:AH30"/>
    <mergeCell ref="I1:AJ2"/>
    <mergeCell ref="AP28:AR28"/>
    <mergeCell ref="W27:AB27"/>
    <mergeCell ref="AC27:AH27"/>
    <mergeCell ref="G28:L28"/>
    <mergeCell ref="N28:S28"/>
    <mergeCell ref="T28:V28"/>
    <mergeCell ref="T27:V27"/>
    <mergeCell ref="AJ28:AO28"/>
    <mergeCell ref="AC28:AH28"/>
    <mergeCell ref="W26:AB26"/>
    <mergeCell ref="A33:F33"/>
    <mergeCell ref="G33:L33"/>
    <mergeCell ref="N36:T36"/>
    <mergeCell ref="N37:T37"/>
    <mergeCell ref="H36:K36"/>
    <mergeCell ref="H37:K37"/>
    <mergeCell ref="N33:S33"/>
    <mergeCell ref="T32:V32"/>
    <mergeCell ref="AC32:AH32"/>
    <mergeCell ref="A31:F31"/>
    <mergeCell ref="G31:L31"/>
    <mergeCell ref="N31:S31"/>
    <mergeCell ref="T31:V31"/>
    <mergeCell ref="AJ31:AO31"/>
    <mergeCell ref="AP31:AR31"/>
    <mergeCell ref="A32:F32"/>
    <mergeCell ref="AC31:AH31"/>
    <mergeCell ref="G30:L30"/>
    <mergeCell ref="N30:S30"/>
    <mergeCell ref="AJ33:AO33"/>
    <mergeCell ref="X37:AA37"/>
    <mergeCell ref="N38:T38"/>
    <mergeCell ref="AJ32:AO32"/>
    <mergeCell ref="AP32:AR32"/>
    <mergeCell ref="W32:AB32"/>
    <mergeCell ref="AJ30:AO30"/>
    <mergeCell ref="AP30:AR30"/>
    <mergeCell ref="W31:AB31"/>
    <mergeCell ref="H38:K38"/>
    <mergeCell ref="AA40:AB40"/>
    <mergeCell ref="T33:V33"/>
    <mergeCell ref="T34:V34"/>
    <mergeCell ref="AP26:AR26"/>
    <mergeCell ref="AC37:AH37"/>
    <mergeCell ref="H44:K44"/>
    <mergeCell ref="H43:K43"/>
    <mergeCell ref="H41:K41"/>
    <mergeCell ref="H42:K42"/>
    <mergeCell ref="N43:T43"/>
    <mergeCell ref="AD41:AI41"/>
    <mergeCell ref="N42:T42"/>
    <mergeCell ref="X42:Z42"/>
    <mergeCell ref="AA42:AB42"/>
    <mergeCell ref="AD42:AI42"/>
    <mergeCell ref="X41:Z41"/>
    <mergeCell ref="AA41:AB41"/>
    <mergeCell ref="N39:T39"/>
    <mergeCell ref="X39:Z39"/>
    <mergeCell ref="AA39:AB39"/>
    <mergeCell ref="N41:T41"/>
    <mergeCell ref="AD40:AI40"/>
    <mergeCell ref="AP34:AR34"/>
    <mergeCell ref="H39:K39"/>
    <mergeCell ref="AA38:AB38"/>
    <mergeCell ref="X38:Z38"/>
    <mergeCell ref="AD39:AI39"/>
    <mergeCell ref="AP33:AR33"/>
    <mergeCell ref="G32:L32"/>
    <mergeCell ref="N32:S32"/>
    <mergeCell ref="AD45:AI45"/>
    <mergeCell ref="AA45:AC45"/>
    <mergeCell ref="P34:S34"/>
    <mergeCell ref="AL34:AO34"/>
    <mergeCell ref="X43:Z43"/>
    <mergeCell ref="AA43:AB43"/>
    <mergeCell ref="AD43:AI43"/>
    <mergeCell ref="N44:T44"/>
    <mergeCell ref="X44:Z44"/>
    <mergeCell ref="AA44:AB44"/>
    <mergeCell ref="AD44:AI44"/>
    <mergeCell ref="W33:AB33"/>
    <mergeCell ref="AC33:AH33"/>
    <mergeCell ref="AD38:AI38"/>
    <mergeCell ref="N40:T40"/>
    <mergeCell ref="X40:Z40"/>
    <mergeCell ref="H40:K40"/>
  </mergeCells>
  <phoneticPr fontId="2"/>
  <pageMargins left="0.39370078740157483" right="0.19685039370078741" top="0.64" bottom="0.59055118110236227" header="0.51181102362204722" footer="0.51181102362204722"/>
  <pageSetup paperSize="9" scale="97" orientation="portrait"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sheetPr codeName="Sheet15"/>
  <dimension ref="A1:AR62"/>
  <sheetViews>
    <sheetView showZeros="0" topLeftCell="A34" zoomScaleNormal="100" workbookViewId="0">
      <selection activeCell="J65" sqref="J65"/>
    </sheetView>
  </sheetViews>
  <sheetFormatPr defaultRowHeight="13.5"/>
  <cols>
    <col min="1" max="11" width="2.25" style="160" customWidth="1"/>
    <col min="12" max="12" width="1.25" style="160" customWidth="1"/>
    <col min="13" max="13" width="2.125" style="160" customWidth="1"/>
    <col min="14" max="18" width="2.25" style="160" customWidth="1"/>
    <col min="19" max="19" width="1.125" style="160" customWidth="1"/>
    <col min="20" max="21" width="2.25" style="160" customWidth="1"/>
    <col min="22" max="22" width="1.125" style="160" customWidth="1"/>
    <col min="23" max="33" width="2.25" style="160" customWidth="1"/>
    <col min="34" max="34" width="1.125" style="160" customWidth="1"/>
    <col min="35" max="35" width="2.25" style="160" customWidth="1"/>
    <col min="36" max="36" width="1.125" style="160" customWidth="1"/>
    <col min="37" max="42" width="2.25" style="160" customWidth="1"/>
    <col min="43" max="43" width="1.125" style="160" customWidth="1"/>
    <col min="44" max="44" width="2.25" style="160" customWidth="1"/>
    <col min="45" max="45" width="1.125" style="160" customWidth="1"/>
    <col min="46" max="87" width="2.125" style="160" customWidth="1"/>
    <col min="88" max="16384" width="9" style="160"/>
  </cols>
  <sheetData>
    <row r="1" spans="1:44" ht="13.5" customHeight="1">
      <c r="B1" s="158"/>
      <c r="C1" s="158"/>
      <c r="D1" s="158"/>
      <c r="E1" s="158"/>
      <c r="F1" s="158"/>
      <c r="H1" s="158"/>
      <c r="I1" s="737" t="s">
        <v>393</v>
      </c>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158"/>
      <c r="AL1" s="158"/>
      <c r="AM1" s="158"/>
      <c r="AN1" s="158"/>
      <c r="AO1" s="158"/>
      <c r="AP1" s="159"/>
    </row>
    <row r="2" spans="1:44" ht="13.5" customHeight="1">
      <c r="A2" s="158"/>
      <c r="B2" s="158"/>
      <c r="C2" s="158"/>
      <c r="D2" s="158"/>
      <c r="E2" s="158"/>
      <c r="F2" s="158"/>
      <c r="G2" s="158"/>
      <c r="H2" s="158"/>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158"/>
      <c r="AL2" s="158"/>
      <c r="AM2" s="158"/>
      <c r="AN2" s="158"/>
      <c r="AO2" s="158"/>
      <c r="AP2" s="159"/>
    </row>
    <row r="3" spans="1:44" ht="13.5" customHeight="1">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9"/>
    </row>
    <row r="4" spans="1:44">
      <c r="AF4" s="719" t="str">
        <f>IF(期間変更依頼!$H$120&lt;&gt;"",期間変更依頼!$H$120,"")</f>
        <v/>
      </c>
      <c r="AG4" s="719"/>
      <c r="AH4" s="719"/>
      <c r="AI4" s="719"/>
      <c r="AJ4" s="719"/>
      <c r="AK4" s="719"/>
      <c r="AL4" s="719"/>
      <c r="AM4" s="719"/>
      <c r="AN4" s="719"/>
      <c r="AO4" s="719"/>
      <c r="AP4" s="719"/>
      <c r="AQ4" s="719"/>
    </row>
    <row r="5" spans="1:44">
      <c r="AF5" s="716" t="str">
        <f>IF(期間変更依頼!$AL$1&lt;&gt;"","注文No:"&amp;期間変更依頼!$AL$1,"")</f>
        <v>注文No:JA1600301</v>
      </c>
      <c r="AG5" s="716"/>
      <c r="AH5" s="716"/>
      <c r="AI5" s="716"/>
      <c r="AJ5" s="716"/>
      <c r="AK5" s="716"/>
      <c r="AL5" s="716"/>
      <c r="AM5" s="716"/>
      <c r="AN5" s="716"/>
      <c r="AO5" s="716"/>
      <c r="AP5" s="716"/>
      <c r="AQ5" s="716"/>
    </row>
    <row r="6" spans="1:44">
      <c r="A6" s="729"/>
      <c r="B6" s="729"/>
      <c r="C6" s="729"/>
      <c r="D6" s="729"/>
      <c r="E6" s="729"/>
      <c r="F6" s="729"/>
    </row>
    <row r="7" spans="1:44">
      <c r="A7" s="160" t="s">
        <v>364</v>
      </c>
      <c r="AD7" s="160" t="s">
        <v>363</v>
      </c>
    </row>
    <row r="8" spans="1:44">
      <c r="A8" s="211">
        <f>外注付託依頼書!AQ53</f>
        <v>0</v>
      </c>
      <c r="B8" s="211"/>
      <c r="C8" s="211"/>
      <c r="D8" s="211"/>
      <c r="E8" s="211"/>
      <c r="F8" s="211"/>
      <c r="G8" s="211"/>
      <c r="H8" s="211"/>
      <c r="AB8" s="163"/>
      <c r="AC8" s="163"/>
      <c r="AD8" s="160" t="s">
        <v>389</v>
      </c>
      <c r="AG8" s="163"/>
      <c r="AH8" s="163"/>
      <c r="AI8" s="163"/>
      <c r="AJ8" s="163"/>
      <c r="AK8" s="163"/>
    </row>
    <row r="9" spans="1:44">
      <c r="A9" s="211">
        <f>外注付託依頼書!AQ54</f>
        <v>0</v>
      </c>
      <c r="B9" s="211"/>
      <c r="C9" s="211"/>
      <c r="D9" s="211"/>
      <c r="E9" s="211"/>
      <c r="F9" s="211"/>
      <c r="G9" s="211"/>
      <c r="H9" s="211"/>
      <c r="R9" s="716"/>
      <c r="S9" s="716"/>
      <c r="T9" s="716"/>
    </row>
    <row r="10" spans="1:44">
      <c r="A10" s="211">
        <f>外注付託依頼書!AQ49</f>
        <v>0</v>
      </c>
      <c r="B10" s="211"/>
      <c r="C10" s="211"/>
      <c r="D10" s="211"/>
      <c r="E10" s="211"/>
      <c r="F10" s="211"/>
      <c r="G10" s="211"/>
      <c r="H10" s="211"/>
      <c r="I10" s="162"/>
      <c r="AD10" s="160" t="s">
        <v>390</v>
      </c>
      <c r="AG10" s="259" t="str">
        <f>IF(期間変更依頼!$D$20&lt;&gt;"",MID(期間変更依頼!$D$20,11,160),"")</f>
        <v/>
      </c>
    </row>
    <row r="11" spans="1:44">
      <c r="A11" s="211">
        <f>外注付託依頼書!AQ50</f>
        <v>0</v>
      </c>
      <c r="B11" s="211"/>
      <c r="C11" s="211"/>
      <c r="D11" s="211"/>
      <c r="E11" s="211"/>
      <c r="F11" s="211"/>
      <c r="G11" s="211"/>
      <c r="H11" s="211"/>
    </row>
    <row r="12" spans="1:44">
      <c r="A12" s="192" t="str">
        <f>外注付託依頼書!AQ51 &amp; "  " &amp; 外注付託依頼書!AQ52</f>
        <v xml:space="preserve">  </v>
      </c>
      <c r="B12" s="192"/>
      <c r="C12" s="192"/>
      <c r="D12" s="192"/>
      <c r="E12" s="192"/>
      <c r="F12" s="192"/>
      <c r="G12" s="192"/>
      <c r="H12" s="192"/>
      <c r="R12" s="160" t="s">
        <v>619</v>
      </c>
      <c r="AF12" s="185"/>
      <c r="AG12" s="185"/>
      <c r="AH12" s="185"/>
      <c r="AI12" s="185"/>
      <c r="AJ12" s="185"/>
      <c r="AK12" s="185"/>
      <c r="AL12" s="185"/>
      <c r="AM12" s="185"/>
      <c r="AN12" s="185"/>
      <c r="AO12" s="185"/>
      <c r="AP12" s="185"/>
      <c r="AQ12" s="185"/>
      <c r="AR12" s="185"/>
    </row>
    <row r="13" spans="1:44">
      <c r="AF13" s="740" t="str">
        <f>IF(期間変更依頼!D20&lt;&gt;"","（"&amp;LEFT(期間変更依頼!D20,10)&amp;")","")</f>
        <v/>
      </c>
      <c r="AG13" s="740"/>
      <c r="AH13" s="740"/>
      <c r="AI13" s="740"/>
      <c r="AJ13" s="740"/>
      <c r="AK13" s="740"/>
      <c r="AL13" s="740"/>
      <c r="AM13" s="740"/>
      <c r="AN13" s="740"/>
      <c r="AO13" s="740"/>
      <c r="AP13" s="740"/>
      <c r="AQ13" s="740"/>
      <c r="AR13" s="740"/>
    </row>
    <row r="14" spans="1:44">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N14" s="163"/>
      <c r="AO14" s="163"/>
      <c r="AP14" s="163"/>
      <c r="AQ14" s="163"/>
      <c r="AR14" s="163"/>
    </row>
    <row r="15" spans="1:44">
      <c r="B15" s="163"/>
      <c r="C15" s="163" t="str">
        <f>IF(期間変更依頼!$AL$1&lt;&gt;"","貴社注文No.("&amp;期間変更依頼!$AL$1&amp;")を下記の条項承諾の上お請けいたします。","")</f>
        <v>貴社注文No.(JA1600301)を下記の条項承諾の上お請けいたします。</v>
      </c>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row>
    <row r="17" spans="1:44">
      <c r="A17" s="716" t="s">
        <v>182</v>
      </c>
      <c r="B17" s="716"/>
      <c r="C17" s="716"/>
      <c r="D17" s="716"/>
      <c r="E17" s="716"/>
      <c r="F17" s="716"/>
      <c r="G17" s="716"/>
      <c r="H17" s="716"/>
      <c r="I17" s="716"/>
      <c r="J17" s="716"/>
      <c r="K17" s="716"/>
      <c r="L17" s="716"/>
      <c r="M17" s="716"/>
      <c r="N17" s="716"/>
      <c r="O17" s="716"/>
      <c r="P17" s="716"/>
      <c r="Q17" s="716"/>
      <c r="R17" s="716"/>
      <c r="S17" s="716"/>
      <c r="T17" s="716"/>
      <c r="U17" s="716"/>
      <c r="V17" s="716"/>
      <c r="W17" s="716"/>
      <c r="X17" s="716"/>
      <c r="Y17" s="716"/>
      <c r="Z17" s="716"/>
      <c r="AA17" s="716"/>
      <c r="AB17" s="716"/>
      <c r="AC17" s="716"/>
      <c r="AD17" s="716"/>
      <c r="AE17" s="716"/>
      <c r="AF17" s="716"/>
      <c r="AG17" s="716"/>
      <c r="AH17" s="716"/>
      <c r="AI17" s="716"/>
      <c r="AJ17" s="716"/>
      <c r="AK17" s="716"/>
      <c r="AL17" s="716"/>
      <c r="AM17" s="716"/>
      <c r="AN17" s="716"/>
      <c r="AO17" s="716"/>
      <c r="AP17" s="716"/>
      <c r="AQ17" s="716"/>
      <c r="AR17" s="716"/>
    </row>
    <row r="19" spans="1:44">
      <c r="A19" s="160" t="str">
        <f>IF(ContractStyle="国内法人","１．業務担当予定者氏名(丙)　：","１．業務担当予定者氏名　：")</f>
        <v>１．業務担当予定者氏名　：</v>
      </c>
      <c r="L19" s="160" t="str">
        <f>IF(期間変更依頼!$D$18&lt;&gt;"",期間変更依頼!$D$18,"")</f>
        <v/>
      </c>
    </row>
    <row r="20" spans="1:44">
      <c r="B20" s="160" t="str">
        <f>IF(外注付託依頼書!$G$28&lt;&gt;"","（"&amp;RIGHT(外注付託依頼書!$G$28,5)&amp;"）","")</f>
        <v/>
      </c>
    </row>
    <row r="21" spans="1:44">
      <c r="A21" s="160" t="s">
        <v>711</v>
      </c>
      <c r="F21" s="160" t="str">
        <f>IF(期間変更依頼!$D$22&lt;&gt;"",期間変更依頼!$D$22,"")</f>
        <v/>
      </c>
    </row>
    <row r="22" spans="1:44">
      <c r="B22" s="160" t="str">
        <f>IF(期間変更依頼!$D$24&lt;&gt;"","（"&amp;期間変更依頼!$D$24&amp;"）","")</f>
        <v/>
      </c>
    </row>
    <row r="23" spans="1:44">
      <c r="A23" s="160" t="s">
        <v>633</v>
      </c>
      <c r="H23" s="256" t="str">
        <f>IF(担当業務&lt;&gt;"",CONCATENATE(担当業務,"（業務内容は業務内容通知書の通り）"),"")</f>
        <v>Cost Estimator（業務内容は業務内容通知書の通り）</v>
      </c>
    </row>
    <row r="25" spans="1:44">
      <c r="A25" s="160" t="s">
        <v>634</v>
      </c>
      <c r="I25" s="716" t="s">
        <v>360</v>
      </c>
      <c r="J25" s="716"/>
      <c r="K25" s="716"/>
      <c r="L25" s="716"/>
      <c r="M25" s="716"/>
      <c r="N25" s="716"/>
      <c r="O25" s="716"/>
      <c r="P25" s="716"/>
      <c r="Q25" s="716"/>
      <c r="AE25" s="716" t="s">
        <v>391</v>
      </c>
      <c r="AF25" s="716"/>
      <c r="AG25" s="716"/>
      <c r="AH25" s="716"/>
      <c r="AI25" s="716"/>
      <c r="AJ25" s="716"/>
      <c r="AK25" s="716"/>
      <c r="AL25" s="716"/>
      <c r="AM25" s="716"/>
    </row>
    <row r="26" spans="1:44">
      <c r="A26" s="750" t="s">
        <v>131</v>
      </c>
      <c r="B26" s="750"/>
      <c r="C26" s="750"/>
      <c r="D26" s="750"/>
      <c r="E26" s="750"/>
      <c r="F26" s="750"/>
      <c r="G26" s="750" t="s">
        <v>132</v>
      </c>
      <c r="H26" s="750"/>
      <c r="I26" s="750"/>
      <c r="J26" s="750"/>
      <c r="K26" s="750"/>
      <c r="L26" s="750"/>
      <c r="M26" s="750"/>
      <c r="N26" s="750"/>
      <c r="O26" s="750"/>
      <c r="P26" s="750"/>
      <c r="Q26" s="750"/>
      <c r="R26" s="750"/>
      <c r="S26" s="750"/>
      <c r="T26" s="750" t="s">
        <v>216</v>
      </c>
      <c r="U26" s="750"/>
      <c r="V26" s="754"/>
      <c r="W26" s="752" t="s">
        <v>131</v>
      </c>
      <c r="X26" s="750"/>
      <c r="Y26" s="750"/>
      <c r="Z26" s="750"/>
      <c r="AA26" s="750"/>
      <c r="AB26" s="750"/>
      <c r="AC26" s="750" t="s">
        <v>132</v>
      </c>
      <c r="AD26" s="750"/>
      <c r="AE26" s="750"/>
      <c r="AF26" s="750"/>
      <c r="AG26" s="750"/>
      <c r="AH26" s="750"/>
      <c r="AI26" s="750"/>
      <c r="AJ26" s="750"/>
      <c r="AK26" s="750"/>
      <c r="AL26" s="750"/>
      <c r="AM26" s="750"/>
      <c r="AN26" s="750"/>
      <c r="AO26" s="750"/>
      <c r="AP26" s="750" t="s">
        <v>216</v>
      </c>
      <c r="AQ26" s="750"/>
      <c r="AR26" s="750"/>
    </row>
    <row r="27" spans="1:44">
      <c r="A27" s="743" t="str">
        <f>IF(期間変更依頼!D$98&lt;&gt;"",期間変更依頼!D$98,"")</f>
        <v/>
      </c>
      <c r="B27" s="744"/>
      <c r="C27" s="744"/>
      <c r="D27" s="744"/>
      <c r="E27" s="744"/>
      <c r="F27" s="744"/>
      <c r="G27" s="741" t="str">
        <f>IF(期間変更依頼!F98&lt;&gt;"",期間変更依頼!F98,"")</f>
        <v/>
      </c>
      <c r="H27" s="741"/>
      <c r="I27" s="741"/>
      <c r="J27" s="741"/>
      <c r="K27" s="741"/>
      <c r="L27" s="741"/>
      <c r="M27" s="165" t="s">
        <v>366</v>
      </c>
      <c r="N27" s="741" t="str">
        <f>IF(期間変更依頼!L98&lt;&gt;"",期間変更依頼!L98,"")</f>
        <v/>
      </c>
      <c r="O27" s="741"/>
      <c r="P27" s="741"/>
      <c r="Q27" s="741"/>
      <c r="R27" s="741"/>
      <c r="S27" s="741"/>
      <c r="T27" s="748" t="str">
        <f>IF(期間変更依頼!R98&lt;&gt;0,TEXT(期間変更依頼!R98,"(0.00)"),"")</f>
        <v/>
      </c>
      <c r="U27" s="748"/>
      <c r="V27" s="749"/>
      <c r="W27" s="741" t="str">
        <f>IF(期間変更依頼!Z98&lt;&gt;"",期間変更依頼!Z98,"")</f>
        <v/>
      </c>
      <c r="X27" s="741"/>
      <c r="Y27" s="741"/>
      <c r="Z27" s="741"/>
      <c r="AA27" s="741"/>
      <c r="AB27" s="741"/>
      <c r="AC27" s="741" t="str">
        <f>IF(期間変更依頼!AB98&lt;&gt;"",期間変更依頼!AB98,"")</f>
        <v/>
      </c>
      <c r="AD27" s="741"/>
      <c r="AE27" s="741"/>
      <c r="AF27" s="741"/>
      <c r="AG27" s="741"/>
      <c r="AH27" s="741"/>
      <c r="AI27" s="165" t="s">
        <v>366</v>
      </c>
      <c r="AJ27" s="741" t="str">
        <f>IF(期間変更依頼!AH98&lt;&gt;"",期間変更依頼!AH98,"")</f>
        <v/>
      </c>
      <c r="AK27" s="741"/>
      <c r="AL27" s="741"/>
      <c r="AM27" s="741"/>
      <c r="AN27" s="741"/>
      <c r="AO27" s="741"/>
      <c r="AP27" s="753" t="str">
        <f>IF(期間変更依頼!AN98&lt;&gt;0,TEXT(期間変更依頼!AN98,"(0.00)"),"")</f>
        <v/>
      </c>
      <c r="AQ27" s="753"/>
      <c r="AR27" s="753"/>
    </row>
    <row r="28" spans="1:44">
      <c r="A28" s="743" t="str">
        <f>IF(期間変更依頼!$D99&lt;&gt;"",期間変更依頼!$D99,"")</f>
        <v/>
      </c>
      <c r="B28" s="744"/>
      <c r="C28" s="744"/>
      <c r="D28" s="744"/>
      <c r="E28" s="744"/>
      <c r="F28" s="744"/>
      <c r="G28" s="741" t="str">
        <f>IF(期間変更依頼!F99&lt;&gt;"",期間変更依頼!F99,"")</f>
        <v/>
      </c>
      <c r="H28" s="741"/>
      <c r="I28" s="741"/>
      <c r="J28" s="741"/>
      <c r="K28" s="741"/>
      <c r="L28" s="741"/>
      <c r="M28" s="165" t="s">
        <v>366</v>
      </c>
      <c r="N28" s="741" t="str">
        <f>IF(期間変更依頼!L99&lt;&gt;"",期間変更依頼!L99,"")</f>
        <v/>
      </c>
      <c r="O28" s="741"/>
      <c r="P28" s="741"/>
      <c r="Q28" s="741"/>
      <c r="R28" s="741"/>
      <c r="S28" s="741"/>
      <c r="T28" s="746" t="str">
        <f>IF(期間変更依頼!R99&lt;&gt;0,TEXT(期間変更依頼!R99,"(0.00)"),"")</f>
        <v/>
      </c>
      <c r="U28" s="746"/>
      <c r="V28" s="747"/>
      <c r="W28" s="743" t="str">
        <f>IF(期間変更依頼!Z99&lt;&gt;"",期間変更依頼!Z99,"")</f>
        <v/>
      </c>
      <c r="X28" s="744"/>
      <c r="Y28" s="744"/>
      <c r="Z28" s="744"/>
      <c r="AA28" s="744"/>
      <c r="AB28" s="744"/>
      <c r="AC28" s="741" t="str">
        <f>IF(期間変更依頼!AB99&lt;&gt;"",期間変更依頼!AB99,"")</f>
        <v/>
      </c>
      <c r="AD28" s="741"/>
      <c r="AE28" s="741"/>
      <c r="AF28" s="741"/>
      <c r="AG28" s="741"/>
      <c r="AH28" s="741"/>
      <c r="AI28" s="165" t="s">
        <v>366</v>
      </c>
      <c r="AJ28" s="741" t="str">
        <f>IF(期間変更依頼!AH99&lt;&gt;"",期間変更依頼!AH99,"")</f>
        <v/>
      </c>
      <c r="AK28" s="741"/>
      <c r="AL28" s="741"/>
      <c r="AM28" s="741"/>
      <c r="AN28" s="741"/>
      <c r="AO28" s="741"/>
      <c r="AP28" s="751" t="str">
        <f>IF(期間変更依頼!AN99&lt;&gt;0,TEXT(期間変更依頼!AN99,"(0.00)"),"")</f>
        <v/>
      </c>
      <c r="AQ28" s="751"/>
      <c r="AR28" s="751"/>
    </row>
    <row r="29" spans="1:44">
      <c r="A29" s="743" t="str">
        <f>IF(期間変更依頼!$D100&lt;&gt;"",期間変更依頼!$D100,"")</f>
        <v/>
      </c>
      <c r="B29" s="744"/>
      <c r="C29" s="744"/>
      <c r="D29" s="744"/>
      <c r="E29" s="744"/>
      <c r="F29" s="744"/>
      <c r="G29" s="741" t="str">
        <f>IF(期間変更依頼!F100&lt;&gt;"",期間変更依頼!F100,"")</f>
        <v/>
      </c>
      <c r="H29" s="741"/>
      <c r="I29" s="741"/>
      <c r="J29" s="741"/>
      <c r="K29" s="741"/>
      <c r="L29" s="741"/>
      <c r="M29" s="165" t="s">
        <v>366</v>
      </c>
      <c r="N29" s="741" t="str">
        <f>IF(期間変更依頼!L100&lt;&gt;"",期間変更依頼!L100,"")</f>
        <v/>
      </c>
      <c r="O29" s="741"/>
      <c r="P29" s="741"/>
      <c r="Q29" s="741"/>
      <c r="R29" s="741"/>
      <c r="S29" s="741"/>
      <c r="T29" s="746" t="str">
        <f>IF(期間変更依頼!R100&lt;&gt;0,TEXT(期間変更依頼!R100,"(0.00)"),"")</f>
        <v/>
      </c>
      <c r="U29" s="746"/>
      <c r="V29" s="747"/>
      <c r="W29" s="743" t="str">
        <f>IF(期間変更依頼!Z100&lt;&gt;"",期間変更依頼!Z100,"")</f>
        <v/>
      </c>
      <c r="X29" s="744"/>
      <c r="Y29" s="744"/>
      <c r="Z29" s="744"/>
      <c r="AA29" s="744"/>
      <c r="AB29" s="744"/>
      <c r="AC29" s="741" t="str">
        <f>IF(期間変更依頼!AB100&lt;&gt;"",期間変更依頼!AB100,"")</f>
        <v/>
      </c>
      <c r="AD29" s="741"/>
      <c r="AE29" s="741"/>
      <c r="AF29" s="741"/>
      <c r="AG29" s="741"/>
      <c r="AH29" s="741"/>
      <c r="AI29" s="165" t="s">
        <v>366</v>
      </c>
      <c r="AJ29" s="741" t="str">
        <f>IF(期間変更依頼!AH100&lt;&gt;"",期間変更依頼!AH100,"")</f>
        <v/>
      </c>
      <c r="AK29" s="741"/>
      <c r="AL29" s="741"/>
      <c r="AM29" s="741"/>
      <c r="AN29" s="741"/>
      <c r="AO29" s="741"/>
      <c r="AP29" s="751" t="str">
        <f>IF(期間変更依頼!AN100&lt;&gt;0,TEXT(期間変更依頼!AN100,"(0.00)"),"")</f>
        <v/>
      </c>
      <c r="AQ29" s="751"/>
      <c r="AR29" s="751"/>
    </row>
    <row r="30" spans="1:44">
      <c r="A30" s="743" t="str">
        <f>IF(期間変更依頼!$D101&lt;&gt;"",期間変更依頼!$D101,"")</f>
        <v/>
      </c>
      <c r="B30" s="744"/>
      <c r="C30" s="744"/>
      <c r="D30" s="744"/>
      <c r="E30" s="744"/>
      <c r="F30" s="744"/>
      <c r="G30" s="741" t="str">
        <f>IF(期間変更依頼!F101&lt;&gt;"",期間変更依頼!F101,"")</f>
        <v/>
      </c>
      <c r="H30" s="741"/>
      <c r="I30" s="741"/>
      <c r="J30" s="741"/>
      <c r="K30" s="741"/>
      <c r="L30" s="741"/>
      <c r="M30" s="165" t="s">
        <v>366</v>
      </c>
      <c r="N30" s="741" t="str">
        <f>IF(期間変更依頼!L101&lt;&gt;"",期間変更依頼!L101,"")</f>
        <v/>
      </c>
      <c r="O30" s="741"/>
      <c r="P30" s="741"/>
      <c r="Q30" s="741"/>
      <c r="R30" s="741"/>
      <c r="S30" s="741"/>
      <c r="T30" s="746" t="str">
        <f>IF(期間変更依頼!R101&lt;&gt;0,TEXT(期間変更依頼!R101,"(0.00)"),"")</f>
        <v/>
      </c>
      <c r="U30" s="746"/>
      <c r="V30" s="747"/>
      <c r="W30" s="743" t="str">
        <f>IF(期間変更依頼!Z101&lt;&gt;"",期間変更依頼!Z101,"")</f>
        <v/>
      </c>
      <c r="X30" s="744"/>
      <c r="Y30" s="744"/>
      <c r="Z30" s="744"/>
      <c r="AA30" s="744"/>
      <c r="AB30" s="744"/>
      <c r="AC30" s="741" t="str">
        <f>IF(期間変更依頼!AB101&lt;&gt;"",期間変更依頼!AB101,"")</f>
        <v/>
      </c>
      <c r="AD30" s="741"/>
      <c r="AE30" s="741"/>
      <c r="AF30" s="741"/>
      <c r="AG30" s="741"/>
      <c r="AH30" s="741"/>
      <c r="AI30" s="165" t="s">
        <v>366</v>
      </c>
      <c r="AJ30" s="741" t="str">
        <f>IF(期間変更依頼!AH101&lt;&gt;"",期間変更依頼!AH101,"")</f>
        <v/>
      </c>
      <c r="AK30" s="741"/>
      <c r="AL30" s="741"/>
      <c r="AM30" s="741"/>
      <c r="AN30" s="741"/>
      <c r="AO30" s="741"/>
      <c r="AP30" s="751" t="str">
        <f>IF(期間変更依頼!AN101&lt;&gt;0,TEXT(期間変更依頼!AN101,"(0.00)"),"")</f>
        <v/>
      </c>
      <c r="AQ30" s="751"/>
      <c r="AR30" s="751"/>
    </row>
    <row r="31" spans="1:44">
      <c r="A31" s="743" t="str">
        <f>IF(期間変更依頼!$D102&lt;&gt;"",期間変更依頼!$D102,"")</f>
        <v/>
      </c>
      <c r="B31" s="744"/>
      <c r="C31" s="744"/>
      <c r="D31" s="744"/>
      <c r="E31" s="744"/>
      <c r="F31" s="744"/>
      <c r="G31" s="741" t="str">
        <f>IF(期間変更依頼!F102&lt;&gt;"",期間変更依頼!F102,"")</f>
        <v/>
      </c>
      <c r="H31" s="741"/>
      <c r="I31" s="741"/>
      <c r="J31" s="741"/>
      <c r="K31" s="741"/>
      <c r="L31" s="741"/>
      <c r="M31" s="165" t="s">
        <v>366</v>
      </c>
      <c r="N31" s="741" t="str">
        <f>IF(期間変更依頼!L102&lt;&gt;"",期間変更依頼!L102,"")</f>
        <v/>
      </c>
      <c r="O31" s="741"/>
      <c r="P31" s="741"/>
      <c r="Q31" s="741"/>
      <c r="R31" s="741"/>
      <c r="S31" s="741"/>
      <c r="T31" s="746" t="str">
        <f>IF(期間変更依頼!R102&lt;&gt;0,TEXT(期間変更依頼!R102,"(0.00)"),"")</f>
        <v/>
      </c>
      <c r="U31" s="746"/>
      <c r="V31" s="747"/>
      <c r="W31" s="743" t="str">
        <f>IF(期間変更依頼!Z102&lt;&gt;"",期間変更依頼!Z102,"")</f>
        <v/>
      </c>
      <c r="X31" s="744"/>
      <c r="Y31" s="744"/>
      <c r="Z31" s="744"/>
      <c r="AA31" s="744"/>
      <c r="AB31" s="744"/>
      <c r="AC31" s="741" t="str">
        <f>IF(期間変更依頼!AB102&lt;&gt;"",期間変更依頼!AB102,"")</f>
        <v/>
      </c>
      <c r="AD31" s="741"/>
      <c r="AE31" s="741"/>
      <c r="AF31" s="741"/>
      <c r="AG31" s="741"/>
      <c r="AH31" s="741"/>
      <c r="AI31" s="165" t="s">
        <v>366</v>
      </c>
      <c r="AJ31" s="741" t="str">
        <f>IF(期間変更依頼!AH102&lt;&gt;"",期間変更依頼!AH102,"")</f>
        <v/>
      </c>
      <c r="AK31" s="741"/>
      <c r="AL31" s="741"/>
      <c r="AM31" s="741"/>
      <c r="AN31" s="741"/>
      <c r="AO31" s="741"/>
      <c r="AP31" s="751" t="str">
        <f>IF(期間変更依頼!AN102&lt;&gt;0,TEXT(期間変更依頼!AN102,"(0.00)"),"")</f>
        <v/>
      </c>
      <c r="AQ31" s="751"/>
      <c r="AR31" s="751"/>
    </row>
    <row r="32" spans="1:44">
      <c r="A32" s="743" t="str">
        <f>IF(期間変更依頼!$D103&lt;&gt;"",期間変更依頼!$D103,"")</f>
        <v/>
      </c>
      <c r="B32" s="744"/>
      <c r="C32" s="744"/>
      <c r="D32" s="744"/>
      <c r="E32" s="744"/>
      <c r="F32" s="744"/>
      <c r="G32" s="741" t="str">
        <f>IF(期間変更依頼!F103&lt;&gt;"",期間変更依頼!F103,"")</f>
        <v/>
      </c>
      <c r="H32" s="741"/>
      <c r="I32" s="741"/>
      <c r="J32" s="741"/>
      <c r="K32" s="741"/>
      <c r="L32" s="741"/>
      <c r="M32" s="165" t="s">
        <v>366</v>
      </c>
      <c r="N32" s="741" t="str">
        <f>IF(期間変更依頼!L103&lt;&gt;"",期間変更依頼!L103,"")</f>
        <v/>
      </c>
      <c r="O32" s="741"/>
      <c r="P32" s="741"/>
      <c r="Q32" s="741"/>
      <c r="R32" s="741"/>
      <c r="S32" s="741"/>
      <c r="T32" s="746" t="str">
        <f>IF(期間変更依頼!R103&lt;&gt;0,TEXT(期間変更依頼!R103,"(0.00)"),"")</f>
        <v/>
      </c>
      <c r="U32" s="746"/>
      <c r="V32" s="747"/>
      <c r="W32" s="743" t="str">
        <f>IF(期間変更依頼!Z103&lt;&gt;"",期間変更依頼!Z103,"")</f>
        <v/>
      </c>
      <c r="X32" s="744"/>
      <c r="Y32" s="744"/>
      <c r="Z32" s="744"/>
      <c r="AA32" s="744"/>
      <c r="AB32" s="744"/>
      <c r="AC32" s="741" t="str">
        <f>IF(期間変更依頼!AB103&lt;&gt;"",期間変更依頼!AB103,"")</f>
        <v/>
      </c>
      <c r="AD32" s="741"/>
      <c r="AE32" s="741"/>
      <c r="AF32" s="741"/>
      <c r="AG32" s="741"/>
      <c r="AH32" s="741"/>
      <c r="AI32" s="165" t="s">
        <v>366</v>
      </c>
      <c r="AJ32" s="741" t="str">
        <f>IF(期間変更依頼!AH103&lt;&gt;"",期間変更依頼!AH103,"")</f>
        <v/>
      </c>
      <c r="AK32" s="741"/>
      <c r="AL32" s="741"/>
      <c r="AM32" s="741"/>
      <c r="AN32" s="741"/>
      <c r="AO32" s="741"/>
      <c r="AP32" s="751" t="str">
        <f>IF(期間変更依頼!AN103&lt;&gt;0,TEXT(期間変更依頼!AN103,"(0.00)"),"")</f>
        <v/>
      </c>
      <c r="AQ32" s="751"/>
      <c r="AR32" s="751"/>
    </row>
    <row r="33" spans="1:44">
      <c r="A33" s="743" t="str">
        <f>IF(期間変更依頼!$D104&lt;&gt;"",期間変更依頼!$D104,"")</f>
        <v/>
      </c>
      <c r="B33" s="744"/>
      <c r="C33" s="744"/>
      <c r="D33" s="744"/>
      <c r="E33" s="744"/>
      <c r="F33" s="744"/>
      <c r="G33" s="745" t="str">
        <f>IF(期間変更依頼!F104&lt;&gt;"",期間変更依頼!F104,"")</f>
        <v/>
      </c>
      <c r="H33" s="745"/>
      <c r="I33" s="745"/>
      <c r="J33" s="745"/>
      <c r="K33" s="745"/>
      <c r="L33" s="745"/>
      <c r="M33" s="209" t="s">
        <v>366</v>
      </c>
      <c r="N33" s="745" t="str">
        <f>IF(期間変更依頼!L104&lt;&gt;"",期間変更依頼!L104,"")</f>
        <v/>
      </c>
      <c r="O33" s="745"/>
      <c r="P33" s="745"/>
      <c r="Q33" s="745"/>
      <c r="R33" s="745"/>
      <c r="S33" s="745"/>
      <c r="T33" s="746" t="str">
        <f>IF(期間変更依頼!R104&lt;&gt;0,TEXT(期間変更依頼!R104,"(0.00)"),"")</f>
        <v/>
      </c>
      <c r="U33" s="746"/>
      <c r="V33" s="747"/>
      <c r="W33" s="743" t="str">
        <f>IF(期間変更依頼!Z104&lt;&gt;"",期間変更依頼!Z104,"")</f>
        <v/>
      </c>
      <c r="X33" s="744"/>
      <c r="Y33" s="744"/>
      <c r="Z33" s="744"/>
      <c r="AA33" s="744"/>
      <c r="AB33" s="744"/>
      <c r="AC33" s="745" t="str">
        <f>IF(期間変更依頼!AB104&lt;&gt;"",期間変更依頼!AB104,"")</f>
        <v/>
      </c>
      <c r="AD33" s="745"/>
      <c r="AE33" s="745"/>
      <c r="AF33" s="745"/>
      <c r="AG33" s="745"/>
      <c r="AH33" s="745"/>
      <c r="AI33" s="209" t="s">
        <v>366</v>
      </c>
      <c r="AJ33" s="745" t="str">
        <f>IF(期間変更依頼!AH104&lt;&gt;"",期間変更依頼!AH104,"")</f>
        <v/>
      </c>
      <c r="AK33" s="745"/>
      <c r="AL33" s="745"/>
      <c r="AM33" s="745"/>
      <c r="AN33" s="745"/>
      <c r="AO33" s="745"/>
      <c r="AP33" s="718" t="str">
        <f>IF(期間変更依頼!AN104&lt;&gt;0,TEXT(期間変更依頼!AN104,"(0.00)"),"")</f>
        <v/>
      </c>
      <c r="AQ33" s="718"/>
      <c r="AR33" s="718"/>
    </row>
    <row r="34" spans="1:44">
      <c r="A34" s="206"/>
      <c r="B34" s="206"/>
      <c r="C34" s="206"/>
      <c r="D34" s="206"/>
      <c r="E34" s="206"/>
      <c r="F34" s="206"/>
      <c r="G34" s="207"/>
      <c r="H34" s="207"/>
      <c r="I34" s="207"/>
      <c r="J34" s="207"/>
      <c r="K34" s="207"/>
      <c r="L34" s="207"/>
      <c r="M34" s="207"/>
      <c r="N34" s="207"/>
      <c r="O34" s="207"/>
      <c r="P34" s="742" t="s">
        <v>392</v>
      </c>
      <c r="Q34" s="742"/>
      <c r="R34" s="742"/>
      <c r="S34" s="742"/>
      <c r="T34" s="748" t="str">
        <f>IF(期間変更依頼!Q116&lt;&gt;0,期間変更依頼!Q116,"")</f>
        <v/>
      </c>
      <c r="U34" s="748"/>
      <c r="V34" s="749"/>
      <c r="W34" s="208"/>
      <c r="X34" s="206"/>
      <c r="Y34" s="206"/>
      <c r="Z34" s="206"/>
      <c r="AA34" s="206"/>
      <c r="AB34" s="206"/>
      <c r="AC34" s="207"/>
      <c r="AD34" s="207"/>
      <c r="AE34" s="207"/>
      <c r="AF34" s="207"/>
      <c r="AG34" s="207"/>
      <c r="AH34" s="207"/>
      <c r="AI34" s="207"/>
      <c r="AJ34" s="207"/>
      <c r="AK34" s="207"/>
      <c r="AL34" s="742" t="s">
        <v>392</v>
      </c>
      <c r="AM34" s="742"/>
      <c r="AN34" s="742"/>
      <c r="AO34" s="742"/>
      <c r="AP34" s="748" t="str">
        <f>IF(期間変更依頼!AM116&lt;&gt;0,期間変更依頼!AM116,"")</f>
        <v/>
      </c>
      <c r="AQ34" s="748"/>
      <c r="AR34" s="748"/>
    </row>
    <row r="35" spans="1:44">
      <c r="A35" s="164"/>
      <c r="B35" s="164"/>
      <c r="C35" s="164"/>
      <c r="D35" s="164"/>
      <c r="E35" s="164"/>
      <c r="F35" s="164"/>
      <c r="G35" s="165"/>
      <c r="H35" s="165"/>
      <c r="I35" s="165"/>
      <c r="J35" s="165"/>
      <c r="K35" s="165"/>
      <c r="L35" s="165"/>
      <c r="M35" s="165"/>
      <c r="N35" s="165"/>
      <c r="O35" s="165"/>
      <c r="P35" s="165"/>
      <c r="Q35" s="165"/>
      <c r="R35" s="165"/>
      <c r="S35" s="165"/>
      <c r="T35" s="166"/>
      <c r="U35" s="166"/>
      <c r="V35" s="170"/>
      <c r="W35" s="173"/>
      <c r="X35" s="173"/>
      <c r="Y35" s="173"/>
      <c r="Z35" s="173"/>
      <c r="AA35" s="173"/>
      <c r="AB35" s="173"/>
      <c r="AC35" s="165"/>
      <c r="AD35" s="165"/>
      <c r="AE35" s="165"/>
      <c r="AF35" s="165"/>
      <c r="AG35" s="165"/>
      <c r="AH35" s="165"/>
      <c r="AI35" s="165"/>
      <c r="AJ35" s="165"/>
      <c r="AK35" s="165"/>
      <c r="AL35" s="165"/>
      <c r="AM35" s="165"/>
      <c r="AN35" s="165"/>
      <c r="AO35" s="165"/>
      <c r="AP35" s="166"/>
      <c r="AQ35" s="166"/>
      <c r="AR35" s="166"/>
    </row>
    <row r="36" spans="1:44">
      <c r="A36" s="160" t="s">
        <v>638</v>
      </c>
      <c r="H36" s="732" t="s">
        <v>45</v>
      </c>
      <c r="I36" s="732"/>
      <c r="J36" s="732"/>
      <c r="K36" s="732"/>
      <c r="L36" s="174"/>
      <c r="M36" s="175" t="s">
        <v>370</v>
      </c>
      <c r="N36" s="723">
        <f>+N37+AC37</f>
        <v>0</v>
      </c>
      <c r="O36" s="723"/>
      <c r="P36" s="723"/>
      <c r="Q36" s="723"/>
      <c r="R36" s="723"/>
      <c r="S36" s="723"/>
      <c r="T36" s="723"/>
      <c r="U36" s="176" t="s">
        <v>371</v>
      </c>
      <c r="W36" s="177"/>
      <c r="X36" s="177"/>
      <c r="Y36" s="177"/>
      <c r="Z36" s="177"/>
      <c r="AA36" s="177"/>
      <c r="AB36" s="177"/>
      <c r="AC36" s="177"/>
      <c r="AD36" s="177"/>
    </row>
    <row r="37" spans="1:44">
      <c r="E37" s="716" t="s">
        <v>372</v>
      </c>
      <c r="F37" s="716"/>
      <c r="G37" s="716"/>
      <c r="H37" s="725" t="s">
        <v>45</v>
      </c>
      <c r="I37" s="725"/>
      <c r="J37" s="725"/>
      <c r="K37" s="725"/>
      <c r="L37" s="178"/>
      <c r="M37" s="179" t="s">
        <v>615</v>
      </c>
      <c r="N37" s="721">
        <f>+AD45</f>
        <v>0</v>
      </c>
      <c r="O37" s="721"/>
      <c r="P37" s="721"/>
      <c r="Q37" s="721"/>
      <c r="R37" s="721"/>
      <c r="S37" s="721"/>
      <c r="T37" s="721"/>
      <c r="U37" s="180" t="s">
        <v>616</v>
      </c>
      <c r="W37" s="177"/>
      <c r="X37" s="732" t="s">
        <v>373</v>
      </c>
      <c r="Y37" s="732"/>
      <c r="Z37" s="732"/>
      <c r="AA37" s="732"/>
      <c r="AB37" s="174" t="s">
        <v>374</v>
      </c>
      <c r="AC37" s="723">
        <f>ROUNDDOWN(N37*期間変更依頼!AP81,0)</f>
        <v>0</v>
      </c>
      <c r="AD37" s="723"/>
      <c r="AE37" s="723"/>
      <c r="AF37" s="723"/>
      <c r="AG37" s="723"/>
      <c r="AH37" s="723"/>
      <c r="AI37" s="176" t="s">
        <v>375</v>
      </c>
    </row>
    <row r="38" spans="1:44">
      <c r="H38" s="716" t="s">
        <v>376</v>
      </c>
      <c r="I38" s="716"/>
      <c r="J38" s="716"/>
      <c r="K38" s="716"/>
      <c r="L38" s="162"/>
      <c r="M38" s="165" t="s">
        <v>377</v>
      </c>
      <c r="N38" s="724">
        <f>IF(期間変更依頼!$H$33="JPY",IF(期間変更依頼!$O33&lt;&gt;0,期間変更依頼!$O33,""),0)</f>
        <v>0</v>
      </c>
      <c r="O38" s="724"/>
      <c r="P38" s="724"/>
      <c r="Q38" s="724"/>
      <c r="R38" s="724"/>
      <c r="S38" s="724"/>
      <c r="T38" s="724"/>
      <c r="W38" s="177" t="s">
        <v>378</v>
      </c>
      <c r="X38" s="727">
        <f>IF(期間変更依頼!$H$33="JPY",IF(期間変更依頼!$X33&lt;&gt;0,期間変更依頼!$X33,""),0)</f>
        <v>0</v>
      </c>
      <c r="Y38" s="727"/>
      <c r="Z38" s="727"/>
      <c r="AA38" s="727" t="str">
        <f>IF(期間変更依頼!$H$33="JPY",IF(期間変更依頼!Z33&lt;&gt;"",期間変更依頼!Z33,""),"")</f>
        <v/>
      </c>
      <c r="AB38" s="727"/>
      <c r="AC38" s="177" t="s">
        <v>379</v>
      </c>
      <c r="AD38" s="731">
        <f>IF(期間変更依頼!$H$33="JPY",IF(期間変更依頼!$AD33&lt;&gt;0,期間変更依頼!$AD33,""),0)</f>
        <v>0</v>
      </c>
      <c r="AE38" s="731"/>
      <c r="AF38" s="731"/>
      <c r="AG38" s="731"/>
      <c r="AH38" s="731"/>
      <c r="AI38" s="731"/>
    </row>
    <row r="39" spans="1:44">
      <c r="H39" s="716" t="s">
        <v>93</v>
      </c>
      <c r="I39" s="716"/>
      <c r="J39" s="716"/>
      <c r="K39" s="716"/>
      <c r="M39" s="165" t="s">
        <v>377</v>
      </c>
      <c r="N39" s="724">
        <f>IF(期間変更依頼!$H$42="JPY",IF(期間変更依頼!$O42&lt;&gt;0,期間変更依頼!$O42,""),0)</f>
        <v>0</v>
      </c>
      <c r="O39" s="724"/>
      <c r="P39" s="724"/>
      <c r="Q39" s="724"/>
      <c r="R39" s="724"/>
      <c r="S39" s="724"/>
      <c r="T39" s="724"/>
      <c r="W39" s="177" t="s">
        <v>378</v>
      </c>
      <c r="X39" s="727">
        <f>IF(期間変更依頼!$H$42="JPY",IF(期間変更依頼!$X42&lt;&gt;0,期間変更依頼!$X42,""),0)</f>
        <v>0</v>
      </c>
      <c r="Y39" s="727"/>
      <c r="Z39" s="727"/>
      <c r="AA39" s="727" t="str">
        <f>IF(期間変更依頼!$H$42="JPY",IF(期間変更依頼!$Z42&lt;&gt;"",期間変更依頼!$Z42,""),"")</f>
        <v/>
      </c>
      <c r="AB39" s="727"/>
      <c r="AC39" s="177" t="s">
        <v>379</v>
      </c>
      <c r="AD39" s="731">
        <f>IF(期間変更依頼!$H$42="JPY",IF(期間変更依頼!$AD42&lt;&gt;0,期間変更依頼!$AD42,""),0)</f>
        <v>0</v>
      </c>
      <c r="AE39" s="731"/>
      <c r="AF39" s="731"/>
      <c r="AG39" s="731"/>
      <c r="AH39" s="731"/>
      <c r="AI39" s="731"/>
    </row>
    <row r="40" spans="1:44">
      <c r="H40" s="716" t="s">
        <v>99</v>
      </c>
      <c r="I40" s="716"/>
      <c r="J40" s="716"/>
      <c r="K40" s="716"/>
      <c r="M40" s="165" t="s">
        <v>377</v>
      </c>
      <c r="N40" s="724">
        <f>IF(期間変更依頼!$H$50="JPY",IF(期間変更依頼!$O$50&lt;&gt;0,期間変更依頼!$O$50,""),0)</f>
        <v>0</v>
      </c>
      <c r="O40" s="724"/>
      <c r="P40" s="724"/>
      <c r="Q40" s="724"/>
      <c r="R40" s="724"/>
      <c r="S40" s="724"/>
      <c r="T40" s="724"/>
      <c r="W40" s="177" t="s">
        <v>378</v>
      </c>
      <c r="X40" s="727">
        <f>IF(期間変更依頼!$H$50="JPY",IF(期間変更依頼!$X$50&lt;&gt;0,期間変更依頼!$X$50,""),0)</f>
        <v>0</v>
      </c>
      <c r="Y40" s="727"/>
      <c r="Z40" s="727"/>
      <c r="AA40" s="727" t="str">
        <f>IF(期間変更依頼!$H$50="JPY",IF(期間変更依頼!$Z$50&lt;&gt;"",期間変更依頼!$Z$50,""),"")</f>
        <v/>
      </c>
      <c r="AB40" s="727"/>
      <c r="AC40" s="177" t="s">
        <v>379</v>
      </c>
      <c r="AD40" s="731">
        <f>IF(期間変更依頼!$H$50="JPY",IF(期間変更依頼!$AD$50&lt;&gt;0,期間変更依頼!$AD$50,""),0)</f>
        <v>0</v>
      </c>
      <c r="AE40" s="731"/>
      <c r="AF40" s="731"/>
      <c r="AG40" s="731"/>
      <c r="AH40" s="731"/>
      <c r="AI40" s="731"/>
    </row>
    <row r="41" spans="1:44">
      <c r="H41" s="716" t="s">
        <v>55</v>
      </c>
      <c r="I41" s="716"/>
      <c r="J41" s="716"/>
      <c r="K41" s="716"/>
      <c r="M41" s="165" t="s">
        <v>377</v>
      </c>
      <c r="N41" s="724"/>
      <c r="O41" s="724"/>
      <c r="P41" s="724"/>
      <c r="Q41" s="724"/>
      <c r="R41" s="724"/>
      <c r="S41" s="724"/>
      <c r="T41" s="724"/>
      <c r="W41" s="177" t="s">
        <v>378</v>
      </c>
      <c r="X41" s="727"/>
      <c r="Y41" s="727"/>
      <c r="Z41" s="727"/>
      <c r="AA41" s="727"/>
      <c r="AB41" s="727"/>
      <c r="AC41" s="177" t="s">
        <v>379</v>
      </c>
      <c r="AD41" s="731">
        <f>N41</f>
        <v>0</v>
      </c>
      <c r="AE41" s="731"/>
      <c r="AF41" s="731"/>
      <c r="AG41" s="731"/>
      <c r="AH41" s="731"/>
      <c r="AI41" s="731"/>
    </row>
    <row r="42" spans="1:44">
      <c r="H42" s="716" t="str">
        <f>IF(期間変更依頼!D65&lt;&gt;"",期間変更依頼!D65,"")</f>
        <v/>
      </c>
      <c r="I42" s="716"/>
      <c r="J42" s="716"/>
      <c r="K42" s="716"/>
      <c r="M42" s="165" t="s">
        <v>377</v>
      </c>
      <c r="N42" s="724">
        <f>IF(期間変更依頼!$H$67="JPY",IF(期間変更依頼!$O$67&lt;&gt;0,期間変更依頼!$O$67,""),0)</f>
        <v>0</v>
      </c>
      <c r="O42" s="724"/>
      <c r="P42" s="724"/>
      <c r="Q42" s="724"/>
      <c r="R42" s="724"/>
      <c r="S42" s="724"/>
      <c r="T42" s="724"/>
      <c r="W42" s="177" t="s">
        <v>378</v>
      </c>
      <c r="X42" s="727">
        <f>IF(期間変更依頼!$H$67="JPY",IF(期間変更依頼!$X$67&lt;&gt;0,期間変更依頼!$X$67,""),0)</f>
        <v>0</v>
      </c>
      <c r="Y42" s="727"/>
      <c r="Z42" s="727"/>
      <c r="AA42" s="727" t="str">
        <f>IF(期間変更依頼!$H$67="JPY",IF(期間変更依頼!$Z$67&lt;&gt;"",期間変更依頼!$Z$67,""),"")</f>
        <v/>
      </c>
      <c r="AB42" s="727"/>
      <c r="AC42" s="177" t="s">
        <v>379</v>
      </c>
      <c r="AD42" s="731">
        <f>IF(期間変更依頼!$H$67="JPY",IF(期間変更依頼!$AD$67&lt;&gt;0,期間変更依頼!$AD$67,""),0)</f>
        <v>0</v>
      </c>
      <c r="AE42" s="731"/>
      <c r="AF42" s="731"/>
      <c r="AG42" s="731"/>
      <c r="AH42" s="731"/>
      <c r="AI42" s="731"/>
    </row>
    <row r="43" spans="1:44">
      <c r="H43" s="716" t="str">
        <f>IF(期間変更依頼!D70&lt;&gt;"",期間変更依頼!D70,"")</f>
        <v/>
      </c>
      <c r="I43" s="716"/>
      <c r="J43" s="716"/>
      <c r="K43" s="716"/>
      <c r="M43" s="165" t="s">
        <v>377</v>
      </c>
      <c r="N43" s="724">
        <f>IF(期間変更依頼!$H$72="JPY",IF(期間変更依頼!$O$72&lt;&gt;0,期間変更依頼!$O$72,""),0)</f>
        <v>0</v>
      </c>
      <c r="O43" s="724"/>
      <c r="P43" s="724"/>
      <c r="Q43" s="724"/>
      <c r="R43" s="724"/>
      <c r="S43" s="724"/>
      <c r="T43" s="724"/>
      <c r="W43" s="177" t="s">
        <v>378</v>
      </c>
      <c r="X43" s="727">
        <f>IF(期間変更依頼!$H$72="JPY",IF(期間変更依頼!$X$72&lt;&gt;0,期間変更依頼!$X$72,""),0)</f>
        <v>0</v>
      </c>
      <c r="Y43" s="727"/>
      <c r="Z43" s="727"/>
      <c r="AA43" s="727" t="str">
        <f>IF(期間変更依頼!$H$72="JPY",IF(期間変更依頼!$Z$72&lt;&gt;"",期間変更依頼!$Z$72,""),"")</f>
        <v/>
      </c>
      <c r="AB43" s="727"/>
      <c r="AC43" s="177" t="s">
        <v>379</v>
      </c>
      <c r="AD43" s="731">
        <f>IF(期間変更依頼!$H$72="JPY",IF(期間変更依頼!$AD$72&lt;&gt;0,期間変更依頼!$AD$72,""),0)</f>
        <v>0</v>
      </c>
      <c r="AE43" s="731"/>
      <c r="AF43" s="731"/>
      <c r="AG43" s="731"/>
      <c r="AH43" s="731"/>
      <c r="AI43" s="731"/>
    </row>
    <row r="44" spans="1:44">
      <c r="H44" s="735" t="str">
        <f>IF(期間変更依頼!D75&lt;&gt;"",期間変更依頼!D75,"")</f>
        <v/>
      </c>
      <c r="I44" s="735"/>
      <c r="J44" s="735"/>
      <c r="K44" s="735"/>
      <c r="L44" s="183"/>
      <c r="M44" s="184" t="s">
        <v>377</v>
      </c>
      <c r="N44" s="726">
        <f>IF(期間変更依頼!$H$77="JPY",IF(期間変更依頼!$O$77&lt;&gt;0,期間変更依頼!$O$77,""),0)</f>
        <v>0</v>
      </c>
      <c r="O44" s="726"/>
      <c r="P44" s="726"/>
      <c r="Q44" s="726"/>
      <c r="R44" s="726"/>
      <c r="S44" s="726"/>
      <c r="T44" s="726"/>
      <c r="U44" s="183"/>
      <c r="V44" s="183"/>
      <c r="W44" s="183" t="s">
        <v>378</v>
      </c>
      <c r="X44" s="735">
        <f>IF(期間変更依頼!$H$77="JPY",IF(期間変更依頼!$X$77&lt;&gt;0,期間変更依頼!$X$77,""),0)</f>
        <v>0</v>
      </c>
      <c r="Y44" s="735"/>
      <c r="Z44" s="735"/>
      <c r="AA44" s="735" t="str">
        <f>IF(期間変更依頼!$H$77="JPY",IF(期間変更依頼!$Z$77&lt;&gt;"",期間変更依頼!$Z$77,""),"")</f>
        <v/>
      </c>
      <c r="AB44" s="735"/>
      <c r="AC44" s="183" t="s">
        <v>379</v>
      </c>
      <c r="AD44" s="726">
        <f>IF(期間変更依頼!$H$77="JPY",IF(期間変更依頼!$AD$77&lt;&gt;0,期間変更依頼!$AD$77,""),0)</f>
        <v>0</v>
      </c>
      <c r="AE44" s="726"/>
      <c r="AF44" s="726"/>
      <c r="AG44" s="726"/>
      <c r="AH44" s="726"/>
      <c r="AI44" s="726"/>
    </row>
    <row r="45" spans="1:44">
      <c r="W45" s="177"/>
      <c r="X45" s="177"/>
      <c r="AA45" s="716" t="s">
        <v>103</v>
      </c>
      <c r="AB45" s="716"/>
      <c r="AC45" s="716"/>
      <c r="AD45" s="724">
        <f>SUM(AD38:AI44)</f>
        <v>0</v>
      </c>
      <c r="AE45" s="720"/>
      <c r="AF45" s="720"/>
      <c r="AG45" s="720"/>
      <c r="AH45" s="720"/>
      <c r="AI45" s="720"/>
    </row>
    <row r="46" spans="1:44">
      <c r="W46" s="177"/>
      <c r="X46" s="177"/>
      <c r="AA46" s="716"/>
      <c r="AB46" s="716"/>
      <c r="AC46" s="716"/>
      <c r="AD46" s="724"/>
      <c r="AE46" s="724"/>
      <c r="AF46" s="724"/>
      <c r="AG46" s="724"/>
      <c r="AH46" s="724"/>
      <c r="AI46" s="724"/>
    </row>
    <row r="47" spans="1:44" ht="41.1" customHeight="1">
      <c r="A47" s="257" t="s">
        <v>636</v>
      </c>
      <c r="G47" s="734" t="str">
        <f>IF(期間変更依頼!H130&lt;&gt;"",期間変更依頼!H130,"")</f>
        <v/>
      </c>
      <c r="H47" s="734"/>
      <c r="I47" s="734"/>
      <c r="J47" s="734"/>
      <c r="K47" s="734"/>
      <c r="L47" s="734"/>
      <c r="M47" s="734"/>
      <c r="N47" s="734"/>
      <c r="O47" s="734"/>
      <c r="P47" s="734"/>
      <c r="Q47" s="734"/>
      <c r="R47" s="734"/>
      <c r="S47" s="734"/>
      <c r="T47" s="734"/>
      <c r="U47" s="734"/>
      <c r="V47" s="734"/>
      <c r="W47" s="734"/>
      <c r="X47" s="734"/>
      <c r="Y47" s="734"/>
      <c r="Z47" s="734"/>
      <c r="AA47" s="734"/>
      <c r="AB47" s="734"/>
      <c r="AC47" s="734"/>
      <c r="AD47" s="734"/>
      <c r="AE47" s="734"/>
      <c r="AF47" s="734"/>
      <c r="AG47" s="734"/>
      <c r="AH47" s="734"/>
      <c r="AI47" s="734"/>
      <c r="AJ47" s="734"/>
      <c r="AK47" s="734"/>
      <c r="AL47" s="734"/>
      <c r="AM47" s="734"/>
      <c r="AN47" s="734"/>
      <c r="AO47" s="734"/>
    </row>
    <row r="48" spans="1:44" ht="41.1" customHeight="1">
      <c r="G48" s="734"/>
      <c r="H48" s="734"/>
      <c r="I48" s="734"/>
      <c r="J48" s="734"/>
      <c r="K48" s="734"/>
      <c r="L48" s="734"/>
      <c r="M48" s="734"/>
      <c r="N48" s="734"/>
      <c r="O48" s="734"/>
      <c r="P48" s="734"/>
      <c r="Q48" s="734"/>
      <c r="R48" s="734"/>
      <c r="S48" s="734"/>
      <c r="T48" s="734"/>
      <c r="U48" s="734"/>
      <c r="V48" s="734"/>
      <c r="W48" s="734"/>
      <c r="X48" s="734"/>
      <c r="Y48" s="734"/>
      <c r="Z48" s="734"/>
      <c r="AA48" s="734"/>
      <c r="AB48" s="734"/>
      <c r="AC48" s="734"/>
      <c r="AD48" s="734"/>
      <c r="AE48" s="734"/>
      <c r="AF48" s="734"/>
      <c r="AG48" s="734"/>
      <c r="AH48" s="734"/>
      <c r="AI48" s="734"/>
      <c r="AJ48" s="734"/>
      <c r="AK48" s="734"/>
      <c r="AL48" s="734"/>
      <c r="AM48" s="734"/>
      <c r="AN48" s="734"/>
      <c r="AO48" s="734"/>
    </row>
    <row r="49" spans="1:42" ht="41.1" customHeight="1">
      <c r="G49" s="734"/>
      <c r="H49" s="734"/>
      <c r="I49" s="734"/>
      <c r="J49" s="734"/>
      <c r="K49" s="734"/>
      <c r="L49" s="734"/>
      <c r="M49" s="734"/>
      <c r="N49" s="734"/>
      <c r="O49" s="734"/>
      <c r="P49" s="734"/>
      <c r="Q49" s="734"/>
      <c r="R49" s="734"/>
      <c r="S49" s="734"/>
      <c r="T49" s="734"/>
      <c r="U49" s="734"/>
      <c r="V49" s="734"/>
      <c r="W49" s="734"/>
      <c r="X49" s="734"/>
      <c r="Y49" s="734"/>
      <c r="Z49" s="734"/>
      <c r="AA49" s="734"/>
      <c r="AB49" s="734"/>
      <c r="AC49" s="734"/>
      <c r="AD49" s="734"/>
      <c r="AE49" s="734"/>
      <c r="AF49" s="734"/>
      <c r="AG49" s="734"/>
      <c r="AH49" s="734"/>
      <c r="AI49" s="734"/>
      <c r="AJ49" s="734"/>
      <c r="AK49" s="734"/>
      <c r="AL49" s="734"/>
      <c r="AM49" s="734"/>
      <c r="AN49" s="734"/>
      <c r="AO49" s="734"/>
    </row>
    <row r="50" spans="1:42" ht="41.1" customHeight="1">
      <c r="G50" s="734"/>
      <c r="H50" s="734"/>
      <c r="I50" s="734"/>
      <c r="J50" s="734"/>
      <c r="K50" s="734"/>
      <c r="L50" s="734"/>
      <c r="M50" s="734"/>
      <c r="N50" s="734"/>
      <c r="O50" s="734"/>
      <c r="P50" s="734"/>
      <c r="Q50" s="734"/>
      <c r="R50" s="734"/>
      <c r="S50" s="734"/>
      <c r="T50" s="734"/>
      <c r="U50" s="734"/>
      <c r="V50" s="734"/>
      <c r="W50" s="734"/>
      <c r="X50" s="734"/>
      <c r="Y50" s="734"/>
      <c r="Z50" s="734"/>
      <c r="AA50" s="734"/>
      <c r="AB50" s="734"/>
      <c r="AC50" s="734"/>
      <c r="AD50" s="734"/>
      <c r="AE50" s="734"/>
      <c r="AF50" s="734"/>
      <c r="AG50" s="734"/>
      <c r="AH50" s="734"/>
      <c r="AI50" s="734"/>
      <c r="AJ50" s="734"/>
      <c r="AK50" s="734"/>
      <c r="AL50" s="734"/>
      <c r="AM50" s="734"/>
      <c r="AN50" s="734"/>
      <c r="AO50" s="734"/>
    </row>
    <row r="52" spans="1:42">
      <c r="A52" s="160" t="s">
        <v>712</v>
      </c>
    </row>
    <row r="54" spans="1:42" hidden="1"/>
    <row r="55" spans="1:42" hidden="1"/>
    <row r="56" spans="1:42">
      <c r="A56" s="160" t="s">
        <v>637</v>
      </c>
      <c r="G56" s="160" t="s">
        <v>380</v>
      </c>
    </row>
    <row r="57" spans="1:42">
      <c r="G57" s="160" t="s">
        <v>381</v>
      </c>
    </row>
    <row r="58" spans="1:42">
      <c r="I58" s="716" t="s">
        <v>382</v>
      </c>
      <c r="J58" s="716"/>
      <c r="K58" s="716"/>
      <c r="L58" s="716"/>
      <c r="M58" s="716"/>
      <c r="N58" s="716"/>
      <c r="O58" s="162" t="s">
        <v>383</v>
      </c>
      <c r="P58" s="729" t="str">
        <f>IF(期間変更依頼!$D$20&lt;&gt;"",LEFT(期間変更依頼!$D$20,10),"")</f>
        <v/>
      </c>
      <c r="Q58" s="729"/>
      <c r="R58" s="729"/>
      <c r="S58" s="729"/>
      <c r="T58" s="729"/>
      <c r="U58" s="729"/>
      <c r="V58" s="729"/>
      <c r="W58" s="729"/>
      <c r="X58" s="729"/>
      <c r="Y58" s="729"/>
    </row>
    <row r="59" spans="1:42">
      <c r="I59" s="716" t="s">
        <v>82</v>
      </c>
      <c r="J59" s="716"/>
      <c r="K59" s="716"/>
      <c r="L59" s="716"/>
      <c r="M59" s="716"/>
      <c r="N59" s="716"/>
      <c r="O59" s="162" t="s">
        <v>384</v>
      </c>
      <c r="P59" s="729" t="str">
        <f>IF(期間変更依頼!$D$24&lt;&gt;"",期間変更依頼!$D$24,"")</f>
        <v/>
      </c>
      <c r="Q59" s="729"/>
      <c r="R59" s="729"/>
      <c r="S59" s="729"/>
      <c r="T59" s="729"/>
      <c r="U59" s="729"/>
      <c r="V59" s="729"/>
      <c r="W59" s="729"/>
      <c r="X59" s="729"/>
      <c r="Y59" s="729"/>
    </row>
    <row r="60" spans="1:42">
      <c r="I60" s="716" t="s">
        <v>385</v>
      </c>
      <c r="J60" s="716"/>
      <c r="K60" s="716"/>
      <c r="L60" s="716"/>
      <c r="M60" s="716"/>
      <c r="N60" s="716"/>
      <c r="O60" s="162" t="s">
        <v>386</v>
      </c>
      <c r="P60" s="729" t="str">
        <f>IF(期間変更依頼!$AL$1&lt;&gt;0,期間変更依頼!$AL$1,"")</f>
        <v>JA1600301</v>
      </c>
      <c r="Q60" s="729"/>
      <c r="R60" s="729"/>
      <c r="S60" s="729"/>
      <c r="T60" s="729"/>
      <c r="U60" s="729"/>
      <c r="V60" s="729"/>
      <c r="W60" s="729"/>
      <c r="X60" s="729"/>
      <c r="Y60" s="729"/>
    </row>
    <row r="61" spans="1:42">
      <c r="AG61" s="720" t="s">
        <v>387</v>
      </c>
      <c r="AH61" s="720"/>
      <c r="AI61" s="720"/>
      <c r="AJ61" s="720"/>
      <c r="AK61" s="720"/>
      <c r="AL61" s="720"/>
      <c r="AM61" s="720"/>
      <c r="AN61" s="720"/>
      <c r="AO61" s="720"/>
      <c r="AP61" s="720"/>
    </row>
    <row r="62" spans="1:42">
      <c r="C62" s="160" t="str">
        <f>IF(期間変更依頼!AK12&lt;&gt;"","写）　"&amp;期間変更依頼!AK12&amp;"　　　　　⇒　Project　Office","")</f>
        <v/>
      </c>
      <c r="AG62" s="720" t="str">
        <f>IF(期間変更依頼!$AL$1&lt;&gt;0,"注文ＮＯ："&amp;期間変更依頼!$AL$1,"")</f>
        <v>注文ＮＯ：JA1600301</v>
      </c>
      <c r="AH62" s="720"/>
      <c r="AI62" s="720"/>
      <c r="AJ62" s="720"/>
      <c r="AK62" s="720"/>
      <c r="AL62" s="720"/>
      <c r="AM62" s="720"/>
      <c r="AN62" s="720"/>
      <c r="AO62" s="720"/>
      <c r="AP62" s="720"/>
    </row>
  </sheetData>
  <mergeCells count="130">
    <mergeCell ref="AG62:AP62"/>
    <mergeCell ref="AC26:AO26"/>
    <mergeCell ref="AP26:AR26"/>
    <mergeCell ref="AC37:AH37"/>
    <mergeCell ref="AL34:AO34"/>
    <mergeCell ref="AD44:AI44"/>
    <mergeCell ref="AD46:AI46"/>
    <mergeCell ref="AD43:AI43"/>
    <mergeCell ref="AP32:AR32"/>
    <mergeCell ref="AG61:AP61"/>
    <mergeCell ref="AA46:AC46"/>
    <mergeCell ref="AD45:AI45"/>
    <mergeCell ref="AA45:AC45"/>
    <mergeCell ref="G47:AO50"/>
    <mergeCell ref="AA44:AB44"/>
    <mergeCell ref="X43:Z43"/>
    <mergeCell ref="H43:K43"/>
    <mergeCell ref="W32:AB32"/>
    <mergeCell ref="AC32:AH32"/>
    <mergeCell ref="AJ32:AO32"/>
    <mergeCell ref="AP33:AR33"/>
    <mergeCell ref="AC33:AH33"/>
    <mergeCell ref="N36:T36"/>
    <mergeCell ref="W31:AB31"/>
    <mergeCell ref="AJ31:AO31"/>
    <mergeCell ref="AD38:AI38"/>
    <mergeCell ref="AJ33:AO33"/>
    <mergeCell ref="AA38:AB38"/>
    <mergeCell ref="W33:AB33"/>
    <mergeCell ref="N38:T38"/>
    <mergeCell ref="AA39:AB39"/>
    <mergeCell ref="P58:Y58"/>
    <mergeCell ref="N43:T43"/>
    <mergeCell ref="N42:T42"/>
    <mergeCell ref="AA43:AB43"/>
    <mergeCell ref="X42:Z42"/>
    <mergeCell ref="AA42:AB42"/>
    <mergeCell ref="N41:T41"/>
    <mergeCell ref="AD42:AI42"/>
    <mergeCell ref="AD41:AI41"/>
    <mergeCell ref="AA41:AB41"/>
    <mergeCell ref="AP34:AR34"/>
    <mergeCell ref="P34:S34"/>
    <mergeCell ref="X37:AA37"/>
    <mergeCell ref="X38:Z38"/>
    <mergeCell ref="N40:T40"/>
    <mergeCell ref="X40:Z40"/>
    <mergeCell ref="AA40:AB40"/>
    <mergeCell ref="AD40:AI40"/>
    <mergeCell ref="AD39:AI39"/>
    <mergeCell ref="N39:T39"/>
    <mergeCell ref="X39:Z39"/>
    <mergeCell ref="T34:V34"/>
    <mergeCell ref="P59:Y59"/>
    <mergeCell ref="P60:Y60"/>
    <mergeCell ref="I58:N58"/>
    <mergeCell ref="I59:N59"/>
    <mergeCell ref="H44:K44"/>
    <mergeCell ref="N44:T44"/>
    <mergeCell ref="I60:N60"/>
    <mergeCell ref="X44:Z44"/>
    <mergeCell ref="N37:T37"/>
    <mergeCell ref="X41:Z41"/>
    <mergeCell ref="H41:K41"/>
    <mergeCell ref="E37:G37"/>
    <mergeCell ref="H42:K42"/>
    <mergeCell ref="H36:K36"/>
    <mergeCell ref="H37:K37"/>
    <mergeCell ref="H39:K39"/>
    <mergeCell ref="H40:K40"/>
    <mergeCell ref="H38:K38"/>
    <mergeCell ref="W28:AB28"/>
    <mergeCell ref="T30:V30"/>
    <mergeCell ref="A30:F30"/>
    <mergeCell ref="G30:L30"/>
    <mergeCell ref="N30:S30"/>
    <mergeCell ref="T28:V28"/>
    <mergeCell ref="W30:AB30"/>
    <mergeCell ref="A33:F33"/>
    <mergeCell ref="G33:L33"/>
    <mergeCell ref="N33:S33"/>
    <mergeCell ref="T33:V33"/>
    <mergeCell ref="A32:F32"/>
    <mergeCell ref="G32:L32"/>
    <mergeCell ref="N32:S32"/>
    <mergeCell ref="T32:V32"/>
    <mergeCell ref="AC28:AH28"/>
    <mergeCell ref="AJ28:AO28"/>
    <mergeCell ref="AP28:AR28"/>
    <mergeCell ref="AC31:AH31"/>
    <mergeCell ref="AC30:AH30"/>
    <mergeCell ref="AJ30:AO30"/>
    <mergeCell ref="AP30:AR30"/>
    <mergeCell ref="AP31:AR31"/>
    <mergeCell ref="A6:F6"/>
    <mergeCell ref="AC29:AH29"/>
    <mergeCell ref="AJ29:AO29"/>
    <mergeCell ref="AP29:AR29"/>
    <mergeCell ref="A29:F29"/>
    <mergeCell ref="G29:L29"/>
    <mergeCell ref="N29:S29"/>
    <mergeCell ref="T29:V29"/>
    <mergeCell ref="A28:F28"/>
    <mergeCell ref="G28:L28"/>
    <mergeCell ref="N28:S28"/>
    <mergeCell ref="W29:AB29"/>
    <mergeCell ref="A31:F31"/>
    <mergeCell ref="G31:L31"/>
    <mergeCell ref="N31:S31"/>
    <mergeCell ref="T31:V31"/>
    <mergeCell ref="AF4:AQ4"/>
    <mergeCell ref="AF5:AQ5"/>
    <mergeCell ref="R9:T9"/>
    <mergeCell ref="I1:AJ2"/>
    <mergeCell ref="AF13:AR13"/>
    <mergeCell ref="A26:F26"/>
    <mergeCell ref="W26:AB26"/>
    <mergeCell ref="G26:S26"/>
    <mergeCell ref="AP27:AR27"/>
    <mergeCell ref="A17:AR17"/>
    <mergeCell ref="I25:Q25"/>
    <mergeCell ref="AE25:AM25"/>
    <mergeCell ref="A27:F27"/>
    <mergeCell ref="G27:L27"/>
    <mergeCell ref="N27:S27"/>
    <mergeCell ref="T27:V27"/>
    <mergeCell ref="W27:AB27"/>
    <mergeCell ref="AC27:AH27"/>
    <mergeCell ref="T26:V26"/>
    <mergeCell ref="AJ27:AO27"/>
  </mergeCells>
  <phoneticPr fontId="2"/>
  <pageMargins left="0.39370078740157483" right="0.19685039370078741" top="0.66" bottom="0.59055118110236227" header="0.51181102362204722" footer="0.51181102362204722"/>
  <pageSetup paperSize="9" scale="97" orientation="portrait"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sheetPr codeName="Sheet16">
    <pageSetUpPr fitToPage="1"/>
  </sheetPr>
  <dimension ref="A1:AS61"/>
  <sheetViews>
    <sheetView workbookViewId="0">
      <selection activeCell="AX25" sqref="AX25"/>
    </sheetView>
  </sheetViews>
  <sheetFormatPr defaultRowHeight="13.5"/>
  <cols>
    <col min="1" max="11" width="2.25" style="160" customWidth="1"/>
    <col min="12" max="12" width="1.25" style="160" customWidth="1"/>
    <col min="13" max="13" width="2.125" style="160" customWidth="1"/>
    <col min="14" max="18" width="2.25" style="160" customWidth="1"/>
    <col min="19" max="19" width="1.125" style="160" customWidth="1"/>
    <col min="20" max="21" width="2.25" style="160" customWidth="1"/>
    <col min="22" max="22" width="1.125" style="160" customWidth="1"/>
    <col min="23" max="33" width="2.25" style="160" customWidth="1"/>
    <col min="34" max="34" width="1.125" style="160" customWidth="1"/>
    <col min="35" max="35" width="2.25" style="160" customWidth="1"/>
    <col min="36" max="36" width="1.125" style="160" customWidth="1"/>
    <col min="37" max="42" width="2.25" style="160" customWidth="1"/>
    <col min="43" max="43" width="1.125" style="160" customWidth="1"/>
    <col min="44" max="44" width="2.25" style="160" customWidth="1"/>
    <col min="45" max="45" width="1.125" style="160" customWidth="1"/>
    <col min="46" max="87" width="2.125" style="160" customWidth="1"/>
    <col min="88" max="16384" width="9" style="160"/>
  </cols>
  <sheetData>
    <row r="1" spans="1:44" ht="13.5" customHeight="1">
      <c r="B1" s="158"/>
      <c r="C1" s="158"/>
      <c r="D1" s="158"/>
      <c r="E1" s="158"/>
      <c r="F1" s="158"/>
      <c r="G1" s="158"/>
      <c r="H1" s="158"/>
      <c r="I1" s="737" t="s">
        <v>394</v>
      </c>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158"/>
      <c r="AL1" s="158"/>
      <c r="AM1" s="158"/>
      <c r="AN1" s="158"/>
      <c r="AO1" s="158"/>
      <c r="AP1" s="159"/>
    </row>
    <row r="2" spans="1:44" ht="13.5" customHeight="1">
      <c r="A2" s="158"/>
      <c r="B2" s="158"/>
      <c r="C2" s="158"/>
      <c r="D2" s="158"/>
      <c r="E2" s="158"/>
      <c r="F2" s="158"/>
      <c r="G2" s="158"/>
      <c r="H2" s="158"/>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158"/>
      <c r="AL2" s="158"/>
      <c r="AM2" s="158"/>
      <c r="AN2" s="158"/>
      <c r="AO2" s="158"/>
      <c r="AP2" s="159"/>
    </row>
    <row r="3" spans="1:44" ht="13.5" customHeight="1">
      <c r="A3" s="158"/>
      <c r="B3" s="158"/>
      <c r="C3" s="158"/>
      <c r="D3" s="158"/>
      <c r="E3" s="158"/>
      <c r="F3" s="158"/>
      <c r="G3" s="158"/>
      <c r="H3" s="158"/>
      <c r="I3" s="785" t="s">
        <v>395</v>
      </c>
      <c r="J3" s="785"/>
      <c r="K3" s="785"/>
      <c r="L3" s="785"/>
      <c r="M3" s="785"/>
      <c r="N3" s="785"/>
      <c r="O3" s="785"/>
      <c r="P3" s="785"/>
      <c r="Q3" s="785"/>
      <c r="R3" s="785"/>
      <c r="S3" s="785"/>
      <c r="T3" s="785"/>
      <c r="U3" s="785"/>
      <c r="V3" s="785"/>
      <c r="W3" s="785"/>
      <c r="X3" s="785"/>
      <c r="Y3" s="785"/>
      <c r="Z3" s="785"/>
      <c r="AA3" s="785"/>
      <c r="AB3" s="785"/>
      <c r="AC3" s="785"/>
      <c r="AD3" s="785"/>
      <c r="AE3" s="785"/>
      <c r="AF3" s="785"/>
      <c r="AG3" s="785"/>
      <c r="AH3" s="785"/>
      <c r="AI3" s="785"/>
      <c r="AJ3" s="785"/>
      <c r="AK3" s="158"/>
      <c r="AL3" s="158"/>
      <c r="AM3" s="158"/>
      <c r="AN3" s="158"/>
      <c r="AO3" s="158"/>
      <c r="AP3" s="159"/>
    </row>
    <row r="4" spans="1:44">
      <c r="AF4" s="719" t="s">
        <v>630</v>
      </c>
      <c r="AG4" s="719"/>
      <c r="AH4" s="719"/>
      <c r="AI4" s="719"/>
      <c r="AJ4" s="719"/>
      <c r="AK4" s="719"/>
      <c r="AL4" s="719"/>
      <c r="AM4" s="719"/>
      <c r="AN4" s="719"/>
      <c r="AO4" s="719"/>
      <c r="AP4" s="719"/>
      <c r="AQ4" s="719"/>
    </row>
    <row r="5" spans="1:44">
      <c r="A5" s="160" t="str">
        <f>IF(外注付託依頼書!AQ49&lt;&gt;"",外注付託依頼書!AQ49,"                                        ")&amp;"    御中"</f>
        <v xml:space="preserve">                                            御中</v>
      </c>
      <c r="AF5" s="716"/>
      <c r="AG5" s="716"/>
      <c r="AH5" s="716"/>
      <c r="AI5" s="716"/>
      <c r="AJ5" s="716"/>
      <c r="AK5" s="716"/>
      <c r="AL5" s="716"/>
      <c r="AM5" s="716"/>
      <c r="AN5" s="716"/>
      <c r="AO5" s="716"/>
      <c r="AP5" s="716"/>
      <c r="AQ5" s="716"/>
    </row>
    <row r="6" spans="1:44">
      <c r="A6" s="729"/>
      <c r="B6" s="729"/>
      <c r="C6" s="729"/>
      <c r="D6" s="729"/>
      <c r="E6" s="729"/>
      <c r="F6" s="729"/>
    </row>
    <row r="8" spans="1:44">
      <c r="AB8" s="163"/>
      <c r="AC8" s="163"/>
      <c r="AD8" s="160" t="s">
        <v>389</v>
      </c>
      <c r="AG8" s="163"/>
      <c r="AH8" s="163"/>
      <c r="AI8" s="163"/>
      <c r="AJ8" s="163"/>
      <c r="AK8" s="163"/>
    </row>
    <row r="9" spans="1:44">
      <c r="R9" s="716"/>
      <c r="S9" s="716"/>
      <c r="T9" s="716"/>
    </row>
    <row r="10" spans="1:44">
      <c r="C10" s="162"/>
      <c r="D10" s="162"/>
      <c r="E10" s="162"/>
      <c r="F10" s="162"/>
      <c r="G10" s="162"/>
      <c r="H10" s="162"/>
      <c r="I10" s="162"/>
      <c r="AD10" s="160" t="s">
        <v>390</v>
      </c>
    </row>
    <row r="12" spans="1:44">
      <c r="AF12" s="185"/>
      <c r="AG12" s="185"/>
      <c r="AH12" s="185"/>
      <c r="AI12" s="185"/>
      <c r="AJ12" s="185"/>
      <c r="AK12" s="185"/>
      <c r="AL12" s="185"/>
      <c r="AM12" s="185"/>
      <c r="AN12" s="185"/>
      <c r="AO12" s="185"/>
      <c r="AP12" s="185"/>
      <c r="AQ12" s="185"/>
      <c r="AR12" s="185"/>
    </row>
    <row r="13" spans="1:44">
      <c r="AF13" s="740" t="str">
        <f>IF(外注付託依頼書!G28&lt;&gt;"","（"&amp;外注付託依頼書!G28&amp;")","")</f>
        <v/>
      </c>
      <c r="AG13" s="740"/>
      <c r="AH13" s="740"/>
      <c r="AI13" s="740"/>
      <c r="AJ13" s="740"/>
      <c r="AK13" s="740"/>
      <c r="AL13" s="740"/>
      <c r="AM13" s="740"/>
      <c r="AN13" s="740"/>
      <c r="AO13" s="740"/>
      <c r="AP13" s="740"/>
      <c r="AQ13" s="740"/>
      <c r="AR13" s="740"/>
    </row>
    <row r="14" spans="1:44">
      <c r="B14" s="163"/>
      <c r="C14" s="163" t="s">
        <v>396</v>
      </c>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3"/>
      <c r="AM14" s="163"/>
      <c r="AN14" s="163"/>
      <c r="AO14" s="163"/>
      <c r="AP14" s="163"/>
      <c r="AQ14" s="163"/>
      <c r="AR14" s="163"/>
    </row>
    <row r="15" spans="1:44">
      <c r="B15" s="163"/>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row>
    <row r="16" spans="1:44">
      <c r="A16" s="160" t="s">
        <v>397</v>
      </c>
      <c r="F16" s="786" t="s">
        <v>398</v>
      </c>
      <c r="G16" s="787"/>
      <c r="H16" s="787"/>
      <c r="I16" s="787"/>
      <c r="J16" s="787"/>
      <c r="K16" s="787"/>
      <c r="L16" s="787"/>
      <c r="M16" s="787"/>
      <c r="N16" s="787"/>
      <c r="O16" s="787"/>
      <c r="P16" s="787"/>
      <c r="Q16" s="787"/>
      <c r="R16" s="787"/>
      <c r="S16" s="787"/>
      <c r="T16" s="787"/>
      <c r="U16" s="787"/>
      <c r="V16" s="787"/>
      <c r="W16" s="787"/>
      <c r="X16" s="787"/>
      <c r="Y16" s="787"/>
      <c r="Z16" s="787"/>
      <c r="AA16" s="787"/>
      <c r="AB16" s="787"/>
      <c r="AC16" s="787"/>
      <c r="AD16" s="787"/>
      <c r="AE16" s="787"/>
      <c r="AF16" s="787"/>
      <c r="AG16" s="787"/>
      <c r="AH16" s="787"/>
      <c r="AI16" s="787"/>
      <c r="AJ16" s="787"/>
      <c r="AK16" s="787"/>
      <c r="AL16" s="787"/>
      <c r="AM16" s="787"/>
      <c r="AN16" s="787"/>
      <c r="AO16" s="787"/>
      <c r="AP16" s="787"/>
      <c r="AQ16" s="787"/>
      <c r="AR16" s="788"/>
    </row>
    <row r="17" spans="1:45">
      <c r="A17" s="162"/>
      <c r="B17" s="162"/>
      <c r="C17" s="162"/>
      <c r="D17" s="162"/>
      <c r="E17" s="162"/>
      <c r="F17" s="789"/>
      <c r="G17" s="790"/>
      <c r="H17" s="790"/>
      <c r="I17" s="790"/>
      <c r="J17" s="790"/>
      <c r="K17" s="790"/>
      <c r="L17" s="790"/>
      <c r="M17" s="790"/>
      <c r="N17" s="790"/>
      <c r="O17" s="790"/>
      <c r="P17" s="790"/>
      <c r="Q17" s="790"/>
      <c r="R17" s="790"/>
      <c r="S17" s="790"/>
      <c r="T17" s="790"/>
      <c r="U17" s="790"/>
      <c r="V17" s="790"/>
      <c r="W17" s="790"/>
      <c r="X17" s="790"/>
      <c r="Y17" s="790"/>
      <c r="Z17" s="790"/>
      <c r="AA17" s="790"/>
      <c r="AB17" s="790"/>
      <c r="AC17" s="790"/>
      <c r="AD17" s="790"/>
      <c r="AE17" s="790"/>
      <c r="AF17" s="790"/>
      <c r="AG17" s="790"/>
      <c r="AH17" s="790"/>
      <c r="AI17" s="790"/>
      <c r="AJ17" s="790"/>
      <c r="AK17" s="790"/>
      <c r="AL17" s="790"/>
      <c r="AM17" s="790"/>
      <c r="AN17" s="790"/>
      <c r="AO17" s="790"/>
      <c r="AP17" s="790"/>
      <c r="AQ17" s="790"/>
      <c r="AR17" s="791"/>
      <c r="AS17" s="162"/>
    </row>
    <row r="18" spans="1:45">
      <c r="A18" s="162"/>
      <c r="B18" s="162"/>
      <c r="C18" s="162"/>
      <c r="D18" s="162"/>
      <c r="E18" s="162"/>
      <c r="F18" s="186" t="s">
        <v>399</v>
      </c>
      <c r="G18" s="181"/>
      <c r="H18" s="181"/>
      <c r="I18" s="181"/>
      <c r="J18" s="181"/>
      <c r="K18" s="181"/>
      <c r="L18" s="181"/>
      <c r="M18" s="181"/>
      <c r="N18" s="181"/>
      <c r="O18" s="181"/>
      <c r="P18" s="181"/>
      <c r="Q18" s="181"/>
      <c r="R18" s="181"/>
      <c r="S18" s="181"/>
      <c r="T18" s="181"/>
      <c r="U18" s="181"/>
      <c r="V18" s="181"/>
      <c r="W18" s="181"/>
      <c r="X18" s="181"/>
      <c r="Y18" s="181"/>
      <c r="Z18" s="181"/>
      <c r="AA18" s="181"/>
      <c r="AB18" s="181"/>
      <c r="AC18" s="181"/>
      <c r="AD18" s="181"/>
      <c r="AE18" s="181"/>
      <c r="AF18" s="181"/>
      <c r="AG18" s="181"/>
      <c r="AH18" s="181"/>
      <c r="AI18" s="181"/>
      <c r="AJ18" s="181"/>
      <c r="AK18" s="181"/>
      <c r="AL18" s="181"/>
      <c r="AM18" s="181"/>
      <c r="AN18" s="181"/>
      <c r="AO18" s="181"/>
      <c r="AP18" s="181"/>
      <c r="AQ18" s="181"/>
      <c r="AR18" s="187"/>
      <c r="AS18" s="162"/>
    </row>
    <row r="19" spans="1:45">
      <c r="A19" s="162"/>
      <c r="B19" s="162"/>
      <c r="C19" s="162"/>
      <c r="D19" s="162"/>
      <c r="E19" s="162"/>
      <c r="F19" s="188" t="s">
        <v>400</v>
      </c>
      <c r="G19" s="174"/>
      <c r="H19" s="174"/>
      <c r="I19" s="174"/>
      <c r="J19" s="174"/>
      <c r="K19" s="174"/>
      <c r="L19" s="174"/>
      <c r="M19" s="174"/>
      <c r="N19" s="174"/>
      <c r="O19" s="174"/>
      <c r="P19" s="174"/>
      <c r="Q19" s="174"/>
      <c r="R19" s="174"/>
      <c r="S19" s="174"/>
      <c r="T19" s="174"/>
      <c r="U19" s="174"/>
      <c r="V19" s="174"/>
      <c r="W19" s="174"/>
      <c r="X19" s="174"/>
      <c r="Y19" s="174"/>
      <c r="Z19" s="174"/>
      <c r="AA19" s="174"/>
      <c r="AB19" s="174"/>
      <c r="AC19" s="174"/>
      <c r="AD19" s="174"/>
      <c r="AE19" s="174"/>
      <c r="AF19" s="174"/>
      <c r="AG19" s="174"/>
      <c r="AH19" s="174"/>
      <c r="AI19" s="174"/>
      <c r="AJ19" s="174"/>
      <c r="AK19" s="174"/>
      <c r="AL19" s="174"/>
      <c r="AM19" s="174"/>
      <c r="AN19" s="174"/>
      <c r="AO19" s="174"/>
      <c r="AP19" s="174"/>
      <c r="AQ19" s="174"/>
      <c r="AR19" s="189"/>
      <c r="AS19" s="162"/>
    </row>
    <row r="20" spans="1:45">
      <c r="A20" s="162"/>
      <c r="B20" s="162"/>
      <c r="C20" s="162"/>
      <c r="D20" s="162"/>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row>
    <row r="21" spans="1:45">
      <c r="A21" s="163" t="s">
        <v>401</v>
      </c>
      <c r="B21" s="162"/>
      <c r="C21" s="162"/>
      <c r="D21" s="162"/>
      <c r="E21" s="162"/>
      <c r="F21" s="176" t="str">
        <f>IF(WorkSubjectNameJ&lt;&gt;"",WorkSubjectNameJ,"")</f>
        <v>ベトナム国ハノイ環状3号線整備事業（マイジックｰ南タンロン区間）</v>
      </c>
      <c r="G21" s="174"/>
      <c r="H21" s="174"/>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6" t="str">
        <f>IF(WorkSubjectCode&lt;&gt;"","作業科目（"&amp;WorkSubjectCode&amp;"）","")</f>
        <v>作業科目（JA15R1003）</v>
      </c>
      <c r="AJ21" s="174"/>
      <c r="AK21" s="174"/>
      <c r="AL21" s="174"/>
      <c r="AM21" s="174"/>
      <c r="AN21" s="174"/>
      <c r="AO21" s="174"/>
      <c r="AP21" s="174"/>
      <c r="AQ21" s="174"/>
      <c r="AR21" s="174"/>
      <c r="AS21" s="162"/>
    </row>
    <row r="22" spans="1:45">
      <c r="A22" s="162"/>
      <c r="B22" s="162"/>
      <c r="C22" s="162"/>
      <c r="D22" s="162"/>
      <c r="E22" s="162"/>
      <c r="F22" s="163" t="str">
        <f>IF(外注付託依頼書!$AG$3&lt;&gt;"","注文No:"&amp;外注付託依頼書!$AG$3,"")</f>
        <v>注文No:JA1600301</v>
      </c>
      <c r="G22" s="162"/>
      <c r="H22" s="162"/>
      <c r="I22" s="162"/>
      <c r="J22" s="162"/>
      <c r="K22" s="162"/>
      <c r="L22" s="162"/>
      <c r="M22" s="162"/>
      <c r="N22" s="162"/>
      <c r="O22" s="162"/>
      <c r="P22" s="162"/>
      <c r="Q22" s="162"/>
      <c r="R22" s="162"/>
      <c r="S22" s="162"/>
      <c r="T22" s="162"/>
      <c r="U22" s="162"/>
      <c r="V22" s="162"/>
      <c r="W22" s="162"/>
      <c r="X22" s="162"/>
      <c r="Y22" s="162"/>
      <c r="Z22" s="162"/>
      <c r="AA22" s="162"/>
      <c r="AB22" s="162"/>
      <c r="AC22" s="162"/>
      <c r="AD22" s="162"/>
      <c r="AE22" s="162"/>
      <c r="AF22" s="162"/>
      <c r="AG22" s="162"/>
      <c r="AH22" s="162"/>
      <c r="AI22" s="162"/>
      <c r="AJ22" s="162"/>
      <c r="AK22" s="162"/>
      <c r="AL22" s="162"/>
      <c r="AM22" s="162"/>
      <c r="AN22" s="162"/>
      <c r="AO22" s="162"/>
      <c r="AP22" s="162"/>
      <c r="AQ22" s="162"/>
      <c r="AR22" s="162"/>
      <c r="AS22" s="162"/>
    </row>
    <row r="23" spans="1:45">
      <c r="A23" s="162"/>
      <c r="B23" s="162"/>
      <c r="C23" s="162"/>
      <c r="D23" s="162"/>
      <c r="E23" s="162"/>
      <c r="F23" s="162"/>
      <c r="G23" s="162"/>
      <c r="H23" s="162"/>
      <c r="I23" s="162"/>
      <c r="J23" s="162"/>
      <c r="K23" s="162"/>
      <c r="L23" s="162"/>
      <c r="M23" s="162"/>
      <c r="N23" s="162"/>
      <c r="O23" s="162"/>
      <c r="P23" s="162"/>
      <c r="Q23" s="162"/>
      <c r="R23" s="162"/>
      <c r="S23" s="162"/>
      <c r="T23" s="162"/>
      <c r="U23" s="162"/>
      <c r="V23" s="162"/>
      <c r="W23" s="162"/>
      <c r="X23" s="162"/>
      <c r="Y23" s="162"/>
      <c r="Z23" s="162"/>
      <c r="AA23" s="162"/>
      <c r="AB23" s="162"/>
      <c r="AC23" s="162"/>
      <c r="AD23" s="162"/>
      <c r="AE23" s="162"/>
      <c r="AF23" s="162"/>
      <c r="AG23" s="162"/>
      <c r="AH23" s="162"/>
      <c r="AI23" s="162"/>
      <c r="AJ23" s="162"/>
      <c r="AK23" s="162"/>
      <c r="AL23" s="162"/>
      <c r="AM23" s="162"/>
      <c r="AN23" s="162"/>
      <c r="AO23" s="162"/>
      <c r="AP23" s="162"/>
      <c r="AQ23" s="162"/>
      <c r="AR23" s="162"/>
      <c r="AS23" s="162"/>
    </row>
    <row r="24" spans="1:45">
      <c r="A24" s="160" t="s">
        <v>390</v>
      </c>
      <c r="F24" s="185"/>
      <c r="G24" s="185"/>
      <c r="H24" s="185" t="str">
        <f>IF(DispatchPersonName&lt;&gt;"",DispatchPersonName,"")</f>
        <v>田中　健治</v>
      </c>
      <c r="I24" s="185"/>
      <c r="J24" s="185"/>
      <c r="K24" s="185"/>
      <c r="L24" s="185"/>
      <c r="M24" s="185"/>
      <c r="N24" s="185"/>
      <c r="O24" s="185"/>
      <c r="P24" s="185"/>
      <c r="Q24" s="185"/>
      <c r="R24" s="185"/>
      <c r="S24" s="185"/>
      <c r="T24" s="185" t="str">
        <f>IF(外注付託依頼書!G28&lt;&gt;"","仕入先個人コード（　"&amp;RIGHT(外注付託依頼書!G28,5) &amp;"　）","")</f>
        <v/>
      </c>
      <c r="U24" s="185"/>
      <c r="V24" s="185"/>
      <c r="W24" s="185"/>
      <c r="X24" s="185"/>
      <c r="Y24" s="185"/>
      <c r="Z24" s="185"/>
      <c r="AA24" s="185"/>
      <c r="AB24" s="185"/>
      <c r="AC24" s="185"/>
      <c r="AD24" s="185"/>
      <c r="AE24" s="185"/>
    </row>
    <row r="26" spans="1:45">
      <c r="A26" s="160" t="s">
        <v>402</v>
      </c>
      <c r="F26" s="185"/>
      <c r="G26" s="185"/>
      <c r="H26" s="185"/>
      <c r="I26" s="185"/>
      <c r="J26" s="185"/>
      <c r="K26" s="185"/>
      <c r="L26" s="185"/>
      <c r="M26" s="185"/>
      <c r="N26" s="185"/>
      <c r="O26" s="185"/>
      <c r="P26" s="185"/>
      <c r="Q26" s="185"/>
      <c r="R26" s="185"/>
      <c r="S26" s="185"/>
      <c r="T26" s="185"/>
      <c r="U26" s="185"/>
      <c r="V26" s="185"/>
      <c r="W26" s="185"/>
      <c r="X26" s="185"/>
      <c r="Y26" s="732">
        <f>IF(外注付託依頼書!Q59&lt;&gt;"",外注付託依頼書!Q59,"")</f>
        <v>4</v>
      </c>
      <c r="Z26" s="732"/>
      <c r="AA26" s="732"/>
      <c r="AB26" s="185" t="s">
        <v>695</v>
      </c>
      <c r="AC26" s="185"/>
      <c r="AD26" s="185"/>
      <c r="AE26" s="185"/>
    </row>
    <row r="28" spans="1:45">
      <c r="A28" s="160" t="s">
        <v>403</v>
      </c>
      <c r="F28" s="756"/>
      <c r="G28" s="725"/>
      <c r="H28" s="725"/>
      <c r="I28" s="725"/>
      <c r="J28" s="757"/>
      <c r="K28" s="756" t="s">
        <v>361</v>
      </c>
      <c r="L28" s="725"/>
      <c r="M28" s="725"/>
      <c r="N28" s="757"/>
      <c r="O28" s="725" t="s">
        <v>404</v>
      </c>
      <c r="P28" s="725"/>
      <c r="Q28" s="725"/>
      <c r="R28" s="725"/>
      <c r="S28" s="725"/>
      <c r="T28" s="757"/>
      <c r="U28" s="756" t="s">
        <v>109</v>
      </c>
      <c r="V28" s="725"/>
      <c r="W28" s="725"/>
      <c r="X28" s="725"/>
      <c r="Y28" s="725"/>
      <c r="Z28" s="725"/>
      <c r="AA28" s="725"/>
      <c r="AB28" s="725"/>
      <c r="AC28" s="757"/>
      <c r="AD28" s="725" t="s">
        <v>200</v>
      </c>
      <c r="AE28" s="725"/>
      <c r="AF28" s="725"/>
      <c r="AG28" s="725"/>
      <c r="AH28" s="725"/>
      <c r="AI28" s="725"/>
      <c r="AJ28" s="725"/>
      <c r="AK28" s="725"/>
      <c r="AL28" s="725"/>
      <c r="AM28" s="725"/>
      <c r="AN28" s="725"/>
      <c r="AO28" s="725"/>
      <c r="AP28" s="725"/>
      <c r="AQ28" s="725"/>
      <c r="AR28" s="757"/>
    </row>
    <row r="29" spans="1:45">
      <c r="A29" s="164"/>
      <c r="B29" s="164"/>
      <c r="C29" s="164"/>
      <c r="D29" s="164"/>
      <c r="E29" s="164"/>
      <c r="F29" s="775" t="s">
        <v>376</v>
      </c>
      <c r="G29" s="776"/>
      <c r="H29" s="776"/>
      <c r="I29" s="776"/>
      <c r="J29" s="777"/>
      <c r="K29" s="767"/>
      <c r="L29" s="768"/>
      <c r="M29" s="768"/>
      <c r="N29" s="769"/>
      <c r="O29" s="762"/>
      <c r="P29" s="762"/>
      <c r="Q29" s="762"/>
      <c r="R29" s="762"/>
      <c r="S29" s="762"/>
      <c r="T29" s="763"/>
      <c r="U29" s="761"/>
      <c r="V29" s="762"/>
      <c r="W29" s="762"/>
      <c r="X29" s="762"/>
      <c r="Y29" s="762"/>
      <c r="Z29" s="762"/>
      <c r="AA29" s="762"/>
      <c r="AB29" s="762"/>
      <c r="AC29" s="763"/>
      <c r="AD29" s="781"/>
      <c r="AE29" s="781"/>
      <c r="AF29" s="781"/>
      <c r="AG29" s="781"/>
      <c r="AH29" s="781"/>
      <c r="AI29" s="781"/>
      <c r="AJ29" s="781"/>
      <c r="AK29" s="781"/>
      <c r="AL29" s="781"/>
      <c r="AM29" s="781"/>
      <c r="AN29" s="781"/>
      <c r="AO29" s="781"/>
      <c r="AP29" s="781"/>
      <c r="AQ29" s="781"/>
      <c r="AR29" s="782"/>
    </row>
    <row r="30" spans="1:45">
      <c r="A30" s="164"/>
      <c r="B30" s="164"/>
      <c r="C30" s="164"/>
      <c r="D30" s="164"/>
      <c r="E30" s="164"/>
      <c r="F30" s="778"/>
      <c r="G30" s="779"/>
      <c r="H30" s="779"/>
      <c r="I30" s="779"/>
      <c r="J30" s="780"/>
      <c r="K30" s="770"/>
      <c r="L30" s="771"/>
      <c r="M30" s="771"/>
      <c r="N30" s="772"/>
      <c r="O30" s="765"/>
      <c r="P30" s="765"/>
      <c r="Q30" s="765"/>
      <c r="R30" s="765"/>
      <c r="S30" s="765"/>
      <c r="T30" s="766"/>
      <c r="U30" s="764"/>
      <c r="V30" s="765"/>
      <c r="W30" s="765"/>
      <c r="X30" s="765"/>
      <c r="Y30" s="765"/>
      <c r="Z30" s="765"/>
      <c r="AA30" s="765"/>
      <c r="AB30" s="765"/>
      <c r="AC30" s="766"/>
      <c r="AD30" s="783"/>
      <c r="AE30" s="783"/>
      <c r="AF30" s="783"/>
      <c r="AG30" s="783"/>
      <c r="AH30" s="783"/>
      <c r="AI30" s="783"/>
      <c r="AJ30" s="783"/>
      <c r="AK30" s="783"/>
      <c r="AL30" s="783"/>
      <c r="AM30" s="783"/>
      <c r="AN30" s="783"/>
      <c r="AO30" s="783"/>
      <c r="AP30" s="783"/>
      <c r="AQ30" s="783"/>
      <c r="AR30" s="784"/>
    </row>
    <row r="31" spans="1:45">
      <c r="A31" s="164"/>
      <c r="B31" s="164"/>
      <c r="C31" s="164"/>
      <c r="D31" s="164"/>
      <c r="E31" s="164"/>
      <c r="F31" s="775" t="s">
        <v>93</v>
      </c>
      <c r="G31" s="776"/>
      <c r="H31" s="776"/>
      <c r="I31" s="776"/>
      <c r="J31" s="777"/>
      <c r="K31" s="767"/>
      <c r="L31" s="768"/>
      <c r="M31" s="768"/>
      <c r="N31" s="769"/>
      <c r="O31" s="762"/>
      <c r="P31" s="762"/>
      <c r="Q31" s="762"/>
      <c r="R31" s="762"/>
      <c r="S31" s="762"/>
      <c r="T31" s="763"/>
      <c r="U31" s="761"/>
      <c r="V31" s="762"/>
      <c r="W31" s="762"/>
      <c r="X31" s="762"/>
      <c r="Y31" s="762"/>
      <c r="Z31" s="762"/>
      <c r="AA31" s="762"/>
      <c r="AB31" s="762"/>
      <c r="AC31" s="763"/>
      <c r="AD31" s="781"/>
      <c r="AE31" s="781"/>
      <c r="AF31" s="781"/>
      <c r="AG31" s="781"/>
      <c r="AH31" s="781"/>
      <c r="AI31" s="781"/>
      <c r="AJ31" s="781"/>
      <c r="AK31" s="781"/>
      <c r="AL31" s="781"/>
      <c r="AM31" s="781"/>
      <c r="AN31" s="781"/>
      <c r="AO31" s="781"/>
      <c r="AP31" s="781"/>
      <c r="AQ31" s="781"/>
      <c r="AR31" s="782"/>
    </row>
    <row r="32" spans="1:45">
      <c r="A32" s="164"/>
      <c r="B32" s="164"/>
      <c r="C32" s="164"/>
      <c r="D32" s="164"/>
      <c r="E32" s="164"/>
      <c r="F32" s="778"/>
      <c r="G32" s="779"/>
      <c r="H32" s="779"/>
      <c r="I32" s="779"/>
      <c r="J32" s="780"/>
      <c r="K32" s="770"/>
      <c r="L32" s="771"/>
      <c r="M32" s="771"/>
      <c r="N32" s="772"/>
      <c r="O32" s="765"/>
      <c r="P32" s="765"/>
      <c r="Q32" s="765"/>
      <c r="R32" s="765"/>
      <c r="S32" s="765"/>
      <c r="T32" s="766"/>
      <c r="U32" s="764"/>
      <c r="V32" s="765"/>
      <c r="W32" s="765"/>
      <c r="X32" s="765"/>
      <c r="Y32" s="765"/>
      <c r="Z32" s="765"/>
      <c r="AA32" s="765"/>
      <c r="AB32" s="765"/>
      <c r="AC32" s="766"/>
      <c r="AD32" s="783"/>
      <c r="AE32" s="783"/>
      <c r="AF32" s="783"/>
      <c r="AG32" s="783"/>
      <c r="AH32" s="783"/>
      <c r="AI32" s="783"/>
      <c r="AJ32" s="783"/>
      <c r="AK32" s="783"/>
      <c r="AL32" s="783"/>
      <c r="AM32" s="783"/>
      <c r="AN32" s="783"/>
      <c r="AO32" s="783"/>
      <c r="AP32" s="783"/>
      <c r="AQ32" s="783"/>
      <c r="AR32" s="784"/>
    </row>
    <row r="33" spans="1:44">
      <c r="A33" s="164"/>
      <c r="B33" s="164"/>
      <c r="C33" s="164"/>
      <c r="D33" s="164"/>
      <c r="E33" s="164"/>
      <c r="F33" s="775" t="s">
        <v>99</v>
      </c>
      <c r="G33" s="776"/>
      <c r="H33" s="776"/>
      <c r="I33" s="776"/>
      <c r="J33" s="777"/>
      <c r="K33" s="767"/>
      <c r="L33" s="768"/>
      <c r="M33" s="768"/>
      <c r="N33" s="769"/>
      <c r="O33" s="762"/>
      <c r="P33" s="762"/>
      <c r="Q33" s="762"/>
      <c r="R33" s="762"/>
      <c r="S33" s="762"/>
      <c r="T33" s="763"/>
      <c r="U33" s="761"/>
      <c r="V33" s="762"/>
      <c r="W33" s="762"/>
      <c r="X33" s="762"/>
      <c r="Y33" s="762"/>
      <c r="Z33" s="762"/>
      <c r="AA33" s="762"/>
      <c r="AB33" s="762"/>
      <c r="AC33" s="763"/>
      <c r="AD33" s="781"/>
      <c r="AE33" s="781"/>
      <c r="AF33" s="781"/>
      <c r="AG33" s="781"/>
      <c r="AH33" s="781"/>
      <c r="AI33" s="781"/>
      <c r="AJ33" s="781"/>
      <c r="AK33" s="781"/>
      <c r="AL33" s="781"/>
      <c r="AM33" s="781"/>
      <c r="AN33" s="781"/>
      <c r="AO33" s="781"/>
      <c r="AP33" s="781"/>
      <c r="AQ33" s="781"/>
      <c r="AR33" s="782"/>
    </row>
    <row r="34" spans="1:44">
      <c r="A34" s="164"/>
      <c r="B34" s="164"/>
      <c r="C34" s="164"/>
      <c r="D34" s="164"/>
      <c r="E34" s="164"/>
      <c r="F34" s="778"/>
      <c r="G34" s="779"/>
      <c r="H34" s="779"/>
      <c r="I34" s="779"/>
      <c r="J34" s="780"/>
      <c r="K34" s="770"/>
      <c r="L34" s="771"/>
      <c r="M34" s="771"/>
      <c r="N34" s="772"/>
      <c r="O34" s="765"/>
      <c r="P34" s="765"/>
      <c r="Q34" s="765"/>
      <c r="R34" s="765"/>
      <c r="S34" s="765"/>
      <c r="T34" s="766"/>
      <c r="U34" s="764"/>
      <c r="V34" s="765"/>
      <c r="W34" s="765"/>
      <c r="X34" s="765"/>
      <c r="Y34" s="765"/>
      <c r="Z34" s="765"/>
      <c r="AA34" s="765"/>
      <c r="AB34" s="765"/>
      <c r="AC34" s="766"/>
      <c r="AD34" s="783"/>
      <c r="AE34" s="783"/>
      <c r="AF34" s="783"/>
      <c r="AG34" s="783"/>
      <c r="AH34" s="783"/>
      <c r="AI34" s="783"/>
      <c r="AJ34" s="783"/>
      <c r="AK34" s="783"/>
      <c r="AL34" s="783"/>
      <c r="AM34" s="783"/>
      <c r="AN34" s="783"/>
      <c r="AO34" s="783"/>
      <c r="AP34" s="783"/>
      <c r="AQ34" s="783"/>
      <c r="AR34" s="784"/>
    </row>
    <row r="35" spans="1:44">
      <c r="A35" s="164"/>
      <c r="B35" s="164"/>
      <c r="C35" s="164"/>
      <c r="D35" s="164"/>
      <c r="E35" s="164"/>
      <c r="F35" s="775" t="s">
        <v>55</v>
      </c>
      <c r="G35" s="776"/>
      <c r="H35" s="776"/>
      <c r="I35" s="776"/>
      <c r="J35" s="777"/>
      <c r="K35" s="767"/>
      <c r="L35" s="768"/>
      <c r="M35" s="768"/>
      <c r="N35" s="769"/>
      <c r="O35" s="762"/>
      <c r="P35" s="762"/>
      <c r="Q35" s="762"/>
      <c r="R35" s="762"/>
      <c r="S35" s="762"/>
      <c r="T35" s="763"/>
      <c r="U35" s="761"/>
      <c r="V35" s="762"/>
      <c r="W35" s="762"/>
      <c r="X35" s="762"/>
      <c r="Y35" s="762"/>
      <c r="Z35" s="762"/>
      <c r="AA35" s="762"/>
      <c r="AB35" s="762"/>
      <c r="AC35" s="763"/>
      <c r="AD35" s="781"/>
      <c r="AE35" s="781"/>
      <c r="AF35" s="781"/>
      <c r="AG35" s="781"/>
      <c r="AH35" s="781"/>
      <c r="AI35" s="781"/>
      <c r="AJ35" s="781"/>
      <c r="AK35" s="781"/>
      <c r="AL35" s="781"/>
      <c r="AM35" s="781"/>
      <c r="AN35" s="781"/>
      <c r="AO35" s="781"/>
      <c r="AP35" s="781"/>
      <c r="AQ35" s="781"/>
      <c r="AR35" s="782"/>
    </row>
    <row r="36" spans="1:44">
      <c r="A36" s="164"/>
      <c r="B36" s="164"/>
      <c r="C36" s="164"/>
      <c r="D36" s="164"/>
      <c r="E36" s="164"/>
      <c r="F36" s="778"/>
      <c r="G36" s="779"/>
      <c r="H36" s="779"/>
      <c r="I36" s="779"/>
      <c r="J36" s="780"/>
      <c r="K36" s="770"/>
      <c r="L36" s="771"/>
      <c r="M36" s="771"/>
      <c r="N36" s="772"/>
      <c r="O36" s="765"/>
      <c r="P36" s="765"/>
      <c r="Q36" s="765"/>
      <c r="R36" s="765"/>
      <c r="S36" s="765"/>
      <c r="T36" s="766"/>
      <c r="U36" s="764"/>
      <c r="V36" s="765"/>
      <c r="W36" s="765"/>
      <c r="X36" s="765"/>
      <c r="Y36" s="765"/>
      <c r="Z36" s="765"/>
      <c r="AA36" s="765"/>
      <c r="AB36" s="765"/>
      <c r="AC36" s="766"/>
      <c r="AD36" s="783"/>
      <c r="AE36" s="783"/>
      <c r="AF36" s="783"/>
      <c r="AG36" s="783"/>
      <c r="AH36" s="783"/>
      <c r="AI36" s="783"/>
      <c r="AJ36" s="783"/>
      <c r="AK36" s="783"/>
      <c r="AL36" s="783"/>
      <c r="AM36" s="783"/>
      <c r="AN36" s="783"/>
      <c r="AO36" s="783"/>
      <c r="AP36" s="783"/>
      <c r="AQ36" s="783"/>
      <c r="AR36" s="784"/>
    </row>
    <row r="37" spans="1:44">
      <c r="A37" s="164"/>
      <c r="B37" s="164"/>
      <c r="C37" s="164"/>
      <c r="D37" s="773" t="s">
        <v>405</v>
      </c>
      <c r="E37" s="774"/>
      <c r="F37" s="775"/>
      <c r="G37" s="776"/>
      <c r="H37" s="776"/>
      <c r="I37" s="776"/>
      <c r="J37" s="777"/>
      <c r="K37" s="767"/>
      <c r="L37" s="768"/>
      <c r="M37" s="768"/>
      <c r="N37" s="769"/>
      <c r="O37" s="762"/>
      <c r="P37" s="762"/>
      <c r="Q37" s="762"/>
      <c r="R37" s="762"/>
      <c r="S37" s="762"/>
      <c r="T37" s="763"/>
      <c r="U37" s="761"/>
      <c r="V37" s="762"/>
      <c r="W37" s="762"/>
      <c r="X37" s="762"/>
      <c r="Y37" s="762"/>
      <c r="Z37" s="762"/>
      <c r="AA37" s="762"/>
      <c r="AB37" s="762"/>
      <c r="AC37" s="763"/>
      <c r="AD37" s="781"/>
      <c r="AE37" s="781"/>
      <c r="AF37" s="781"/>
      <c r="AG37" s="781"/>
      <c r="AH37" s="781"/>
      <c r="AI37" s="781"/>
      <c r="AJ37" s="781"/>
      <c r="AK37" s="781"/>
      <c r="AL37" s="781"/>
      <c r="AM37" s="781"/>
      <c r="AN37" s="781"/>
      <c r="AO37" s="781"/>
      <c r="AP37" s="781"/>
      <c r="AQ37" s="781"/>
      <c r="AR37" s="782"/>
    </row>
    <row r="38" spans="1:44">
      <c r="A38" s="164"/>
      <c r="B38" s="164"/>
      <c r="C38" s="164"/>
      <c r="D38" s="773"/>
      <c r="E38" s="774"/>
      <c r="F38" s="778"/>
      <c r="G38" s="779"/>
      <c r="H38" s="779"/>
      <c r="I38" s="779"/>
      <c r="J38" s="780"/>
      <c r="K38" s="770"/>
      <c r="L38" s="771"/>
      <c r="M38" s="771"/>
      <c r="N38" s="772"/>
      <c r="O38" s="765"/>
      <c r="P38" s="765"/>
      <c r="Q38" s="765"/>
      <c r="R38" s="765"/>
      <c r="S38" s="765"/>
      <c r="T38" s="766"/>
      <c r="U38" s="764"/>
      <c r="V38" s="765"/>
      <c r="W38" s="765"/>
      <c r="X38" s="765"/>
      <c r="Y38" s="765"/>
      <c r="Z38" s="765"/>
      <c r="AA38" s="765"/>
      <c r="AB38" s="765"/>
      <c r="AC38" s="766"/>
      <c r="AD38" s="783"/>
      <c r="AE38" s="783"/>
      <c r="AF38" s="783"/>
      <c r="AG38" s="783"/>
      <c r="AH38" s="783"/>
      <c r="AI38" s="783"/>
      <c r="AJ38" s="783"/>
      <c r="AK38" s="783"/>
      <c r="AL38" s="783"/>
      <c r="AM38" s="783"/>
      <c r="AN38" s="783"/>
      <c r="AO38" s="783"/>
      <c r="AP38" s="783"/>
      <c r="AQ38" s="783"/>
      <c r="AR38" s="784"/>
    </row>
    <row r="39" spans="1:44">
      <c r="F39" s="775"/>
      <c r="G39" s="776"/>
      <c r="H39" s="776"/>
      <c r="I39" s="776"/>
      <c r="J39" s="777"/>
      <c r="K39" s="767"/>
      <c r="L39" s="768"/>
      <c r="M39" s="768"/>
      <c r="N39" s="769"/>
      <c r="O39" s="762"/>
      <c r="P39" s="762"/>
      <c r="Q39" s="762"/>
      <c r="R39" s="762"/>
      <c r="S39" s="762"/>
      <c r="T39" s="763"/>
      <c r="U39" s="761"/>
      <c r="V39" s="762"/>
      <c r="W39" s="762"/>
      <c r="X39" s="762"/>
      <c r="Y39" s="762"/>
      <c r="Z39" s="762"/>
      <c r="AA39" s="762"/>
      <c r="AB39" s="762"/>
      <c r="AC39" s="763"/>
      <c r="AD39" s="781"/>
      <c r="AE39" s="781"/>
      <c r="AF39" s="781"/>
      <c r="AG39" s="781"/>
      <c r="AH39" s="781"/>
      <c r="AI39" s="781"/>
      <c r="AJ39" s="781"/>
      <c r="AK39" s="781"/>
      <c r="AL39" s="781"/>
      <c r="AM39" s="781"/>
      <c r="AN39" s="781"/>
      <c r="AO39" s="781"/>
      <c r="AP39" s="781"/>
      <c r="AQ39" s="781"/>
      <c r="AR39" s="782"/>
    </row>
    <row r="40" spans="1:44">
      <c r="E40" s="162"/>
      <c r="F40" s="778"/>
      <c r="G40" s="779"/>
      <c r="H40" s="779"/>
      <c r="I40" s="779"/>
      <c r="J40" s="780"/>
      <c r="K40" s="770"/>
      <c r="L40" s="771"/>
      <c r="M40" s="771"/>
      <c r="N40" s="772"/>
      <c r="O40" s="765"/>
      <c r="P40" s="765"/>
      <c r="Q40" s="765"/>
      <c r="R40" s="765"/>
      <c r="S40" s="765"/>
      <c r="T40" s="766"/>
      <c r="U40" s="764"/>
      <c r="V40" s="765"/>
      <c r="W40" s="765"/>
      <c r="X40" s="765"/>
      <c r="Y40" s="765"/>
      <c r="Z40" s="765"/>
      <c r="AA40" s="765"/>
      <c r="AB40" s="765"/>
      <c r="AC40" s="766"/>
      <c r="AD40" s="783"/>
      <c r="AE40" s="783"/>
      <c r="AF40" s="783"/>
      <c r="AG40" s="783"/>
      <c r="AH40" s="783"/>
      <c r="AI40" s="783"/>
      <c r="AJ40" s="783"/>
      <c r="AK40" s="783"/>
      <c r="AL40" s="783"/>
      <c r="AM40" s="783"/>
      <c r="AN40" s="783"/>
      <c r="AO40" s="783"/>
      <c r="AP40" s="783"/>
      <c r="AQ40" s="783"/>
      <c r="AR40" s="784"/>
    </row>
    <row r="41" spans="1:44">
      <c r="F41" s="775"/>
      <c r="G41" s="776"/>
      <c r="H41" s="776"/>
      <c r="I41" s="776"/>
      <c r="J41" s="777"/>
      <c r="K41" s="767"/>
      <c r="L41" s="768"/>
      <c r="M41" s="768"/>
      <c r="N41" s="769"/>
      <c r="O41" s="762"/>
      <c r="P41" s="762"/>
      <c r="Q41" s="762"/>
      <c r="R41" s="762"/>
      <c r="S41" s="762"/>
      <c r="T41" s="763"/>
      <c r="U41" s="761"/>
      <c r="V41" s="762"/>
      <c r="W41" s="762"/>
      <c r="X41" s="762"/>
      <c r="Y41" s="762"/>
      <c r="Z41" s="762"/>
      <c r="AA41" s="762"/>
      <c r="AB41" s="762"/>
      <c r="AC41" s="763"/>
      <c r="AD41" s="781"/>
      <c r="AE41" s="781"/>
      <c r="AF41" s="781"/>
      <c r="AG41" s="781"/>
      <c r="AH41" s="781"/>
      <c r="AI41" s="781"/>
      <c r="AJ41" s="781"/>
      <c r="AK41" s="781"/>
      <c r="AL41" s="781"/>
      <c r="AM41" s="781"/>
      <c r="AN41" s="781"/>
      <c r="AO41" s="781"/>
      <c r="AP41" s="781"/>
      <c r="AQ41" s="781"/>
      <c r="AR41" s="782"/>
    </row>
    <row r="42" spans="1:44">
      <c r="F42" s="778"/>
      <c r="G42" s="779"/>
      <c r="H42" s="779"/>
      <c r="I42" s="779"/>
      <c r="J42" s="780"/>
      <c r="K42" s="770"/>
      <c r="L42" s="771"/>
      <c r="M42" s="771"/>
      <c r="N42" s="772"/>
      <c r="O42" s="765"/>
      <c r="P42" s="765"/>
      <c r="Q42" s="765"/>
      <c r="R42" s="765"/>
      <c r="S42" s="765"/>
      <c r="T42" s="766"/>
      <c r="U42" s="764"/>
      <c r="V42" s="765"/>
      <c r="W42" s="765"/>
      <c r="X42" s="765"/>
      <c r="Y42" s="765"/>
      <c r="Z42" s="765"/>
      <c r="AA42" s="765"/>
      <c r="AB42" s="765"/>
      <c r="AC42" s="766"/>
      <c r="AD42" s="783"/>
      <c r="AE42" s="783"/>
      <c r="AF42" s="783"/>
      <c r="AG42" s="783"/>
      <c r="AH42" s="783"/>
      <c r="AI42" s="783"/>
      <c r="AJ42" s="783"/>
      <c r="AK42" s="783"/>
      <c r="AL42" s="783"/>
      <c r="AM42" s="783"/>
      <c r="AN42" s="783"/>
      <c r="AO42" s="783"/>
      <c r="AP42" s="783"/>
      <c r="AQ42" s="783"/>
      <c r="AR42" s="784"/>
    </row>
    <row r="43" spans="1:44">
      <c r="D43" s="785" t="s">
        <v>617</v>
      </c>
      <c r="E43" s="796"/>
      <c r="F43" s="775" t="s">
        <v>103</v>
      </c>
      <c r="G43" s="776"/>
      <c r="H43" s="776"/>
      <c r="I43" s="776"/>
      <c r="J43" s="776"/>
      <c r="K43" s="776"/>
      <c r="L43" s="776"/>
      <c r="M43" s="776"/>
      <c r="N43" s="776"/>
      <c r="O43" s="776"/>
      <c r="P43" s="776"/>
      <c r="Q43" s="776"/>
      <c r="R43" s="776"/>
      <c r="S43" s="776"/>
      <c r="T43" s="776"/>
      <c r="U43" s="792"/>
      <c r="V43" s="781"/>
      <c r="W43" s="781"/>
      <c r="X43" s="781"/>
      <c r="Y43" s="781"/>
      <c r="Z43" s="781"/>
      <c r="AA43" s="781"/>
      <c r="AB43" s="781"/>
      <c r="AC43" s="782"/>
      <c r="AD43" s="781"/>
      <c r="AE43" s="781"/>
      <c r="AF43" s="781"/>
      <c r="AG43" s="781"/>
      <c r="AH43" s="781"/>
      <c r="AI43" s="781"/>
      <c r="AJ43" s="781"/>
      <c r="AK43" s="781"/>
      <c r="AL43" s="781"/>
      <c r="AM43" s="781"/>
      <c r="AN43" s="781"/>
      <c r="AO43" s="781"/>
      <c r="AP43" s="781"/>
      <c r="AQ43" s="781"/>
      <c r="AR43" s="782"/>
    </row>
    <row r="44" spans="1:44">
      <c r="D44" s="785"/>
      <c r="E44" s="796"/>
      <c r="F44" s="778"/>
      <c r="G44" s="779"/>
      <c r="H44" s="779"/>
      <c r="I44" s="779"/>
      <c r="J44" s="779"/>
      <c r="K44" s="779"/>
      <c r="L44" s="779"/>
      <c r="M44" s="779"/>
      <c r="N44" s="779"/>
      <c r="O44" s="779"/>
      <c r="P44" s="779"/>
      <c r="Q44" s="779"/>
      <c r="R44" s="779"/>
      <c r="S44" s="779"/>
      <c r="T44" s="779"/>
      <c r="U44" s="793"/>
      <c r="V44" s="783"/>
      <c r="W44" s="783"/>
      <c r="X44" s="783"/>
      <c r="Y44" s="783"/>
      <c r="Z44" s="783"/>
      <c r="AA44" s="783"/>
      <c r="AB44" s="783"/>
      <c r="AC44" s="784"/>
      <c r="AD44" s="783"/>
      <c r="AE44" s="783"/>
      <c r="AF44" s="783"/>
      <c r="AG44" s="783"/>
      <c r="AH44" s="783"/>
      <c r="AI44" s="783"/>
      <c r="AJ44" s="783"/>
      <c r="AK44" s="783"/>
      <c r="AL44" s="783"/>
      <c r="AM44" s="783"/>
      <c r="AN44" s="783"/>
      <c r="AO44" s="783"/>
      <c r="AP44" s="783"/>
      <c r="AQ44" s="783"/>
      <c r="AR44" s="784"/>
    </row>
    <row r="45" spans="1:44">
      <c r="G45" s="243"/>
      <c r="H45" s="190"/>
      <c r="I45" s="190"/>
      <c r="J45" s="190"/>
      <c r="K45" s="190"/>
      <c r="L45" s="190"/>
      <c r="M45" s="190"/>
      <c r="N45" s="190"/>
      <c r="O45" s="190"/>
      <c r="P45" s="190"/>
      <c r="Q45" s="190"/>
      <c r="R45" s="190"/>
      <c r="S45" s="190"/>
      <c r="T45" s="190"/>
      <c r="U45" s="190"/>
      <c r="V45" s="190"/>
      <c r="W45" s="190"/>
      <c r="X45" s="190"/>
      <c r="Y45" s="190"/>
      <c r="Z45" s="190"/>
      <c r="AA45" s="181"/>
      <c r="AB45" s="181"/>
      <c r="AC45" s="181"/>
      <c r="AD45" s="182"/>
      <c r="AE45" s="191"/>
      <c r="AF45" s="191"/>
      <c r="AG45" s="191"/>
      <c r="AH45" s="191"/>
      <c r="AI45" s="191"/>
    </row>
    <row r="46" spans="1:44">
      <c r="A46" s="160" t="s">
        <v>406</v>
      </c>
      <c r="F46" s="756"/>
      <c r="G46" s="725"/>
      <c r="H46" s="725"/>
      <c r="I46" s="725"/>
      <c r="J46" s="757"/>
      <c r="K46" s="756" t="s">
        <v>407</v>
      </c>
      <c r="L46" s="725"/>
      <c r="M46" s="725"/>
      <c r="N46" s="757"/>
      <c r="O46" s="756" t="s">
        <v>404</v>
      </c>
      <c r="P46" s="725"/>
      <c r="Q46" s="725"/>
      <c r="R46" s="725"/>
      <c r="S46" s="725"/>
      <c r="T46" s="757"/>
      <c r="U46" s="756" t="s">
        <v>109</v>
      </c>
      <c r="V46" s="725"/>
      <c r="W46" s="725"/>
      <c r="X46" s="725"/>
      <c r="Y46" s="725"/>
      <c r="Z46" s="725"/>
      <c r="AA46" s="725"/>
      <c r="AB46" s="725"/>
      <c r="AC46" s="757"/>
      <c r="AD46" s="725" t="s">
        <v>408</v>
      </c>
      <c r="AE46" s="725"/>
      <c r="AF46" s="725"/>
      <c r="AG46" s="725"/>
      <c r="AH46" s="725"/>
      <c r="AI46" s="725"/>
      <c r="AJ46" s="725"/>
      <c r="AK46" s="725"/>
      <c r="AL46" s="725"/>
      <c r="AM46" s="725"/>
      <c r="AN46" s="725"/>
      <c r="AO46" s="725"/>
      <c r="AP46" s="725"/>
      <c r="AQ46" s="725"/>
      <c r="AR46" s="757"/>
    </row>
    <row r="47" spans="1:44">
      <c r="D47" s="785" t="s">
        <v>409</v>
      </c>
      <c r="E47" s="796"/>
      <c r="F47" s="775" t="s">
        <v>410</v>
      </c>
      <c r="G47" s="776"/>
      <c r="H47" s="776"/>
      <c r="I47" s="776"/>
      <c r="J47" s="776"/>
      <c r="K47" s="792"/>
      <c r="L47" s="781"/>
      <c r="M47" s="781"/>
      <c r="N47" s="781"/>
      <c r="O47" s="792"/>
      <c r="P47" s="781"/>
      <c r="Q47" s="781"/>
      <c r="R47" s="781"/>
      <c r="S47" s="781"/>
      <c r="T47" s="782"/>
      <c r="U47" s="761"/>
      <c r="V47" s="762"/>
      <c r="W47" s="762"/>
      <c r="X47" s="762"/>
      <c r="Y47" s="762"/>
      <c r="Z47" s="762"/>
      <c r="AA47" s="762"/>
      <c r="AB47" s="762"/>
      <c r="AC47" s="763"/>
      <c r="AD47" s="781"/>
      <c r="AE47" s="781"/>
      <c r="AF47" s="781"/>
      <c r="AG47" s="781"/>
      <c r="AH47" s="781"/>
      <c r="AI47" s="781"/>
      <c r="AJ47" s="781"/>
      <c r="AK47" s="781"/>
      <c r="AL47" s="781"/>
      <c r="AM47" s="781"/>
      <c r="AN47" s="781"/>
      <c r="AO47" s="781"/>
      <c r="AP47" s="781"/>
      <c r="AQ47" s="781"/>
      <c r="AR47" s="782"/>
    </row>
    <row r="48" spans="1:44">
      <c r="D48" s="785"/>
      <c r="E48" s="796"/>
      <c r="F48" s="778"/>
      <c r="G48" s="779"/>
      <c r="H48" s="779"/>
      <c r="I48" s="779"/>
      <c r="J48" s="779"/>
      <c r="K48" s="793"/>
      <c r="L48" s="783"/>
      <c r="M48" s="783"/>
      <c r="N48" s="783"/>
      <c r="O48" s="793"/>
      <c r="P48" s="783"/>
      <c r="Q48" s="783"/>
      <c r="R48" s="783"/>
      <c r="S48" s="783"/>
      <c r="T48" s="784"/>
      <c r="U48" s="764"/>
      <c r="V48" s="765"/>
      <c r="W48" s="765"/>
      <c r="X48" s="765"/>
      <c r="Y48" s="765"/>
      <c r="Z48" s="765"/>
      <c r="AA48" s="765"/>
      <c r="AB48" s="765"/>
      <c r="AC48" s="766"/>
      <c r="AD48" s="783"/>
      <c r="AE48" s="783"/>
      <c r="AF48" s="783"/>
      <c r="AG48" s="783"/>
      <c r="AH48" s="783"/>
      <c r="AI48" s="783"/>
      <c r="AJ48" s="783"/>
      <c r="AK48" s="783"/>
      <c r="AL48" s="783"/>
      <c r="AM48" s="783"/>
      <c r="AN48" s="783"/>
      <c r="AO48" s="783"/>
      <c r="AP48" s="783"/>
      <c r="AQ48" s="783"/>
      <c r="AR48" s="784"/>
    </row>
    <row r="49" spans="1:44">
      <c r="F49" s="775" t="s">
        <v>411</v>
      </c>
      <c r="G49" s="776"/>
      <c r="H49" s="776"/>
      <c r="I49" s="776"/>
      <c r="J49" s="776"/>
      <c r="K49" s="792"/>
      <c r="L49" s="781"/>
      <c r="M49" s="781"/>
      <c r="N49" s="781"/>
      <c r="O49" s="792"/>
      <c r="P49" s="781"/>
      <c r="Q49" s="781"/>
      <c r="R49" s="781"/>
      <c r="S49" s="781"/>
      <c r="T49" s="782"/>
      <c r="U49" s="792"/>
      <c r="V49" s="781"/>
      <c r="W49" s="781"/>
      <c r="X49" s="781"/>
      <c r="Y49" s="781"/>
      <c r="Z49" s="781"/>
      <c r="AA49" s="781"/>
      <c r="AB49" s="781"/>
      <c r="AC49" s="782"/>
      <c r="AD49" s="781"/>
      <c r="AE49" s="781"/>
      <c r="AF49" s="781"/>
      <c r="AG49" s="781"/>
      <c r="AH49" s="781"/>
      <c r="AI49" s="781"/>
      <c r="AJ49" s="781"/>
      <c r="AK49" s="781"/>
      <c r="AL49" s="781"/>
      <c r="AM49" s="781"/>
      <c r="AN49" s="781"/>
      <c r="AO49" s="781"/>
      <c r="AP49" s="781"/>
      <c r="AQ49" s="781"/>
      <c r="AR49" s="782"/>
    </row>
    <row r="50" spans="1:44">
      <c r="F50" s="778"/>
      <c r="G50" s="779"/>
      <c r="H50" s="779"/>
      <c r="I50" s="779"/>
      <c r="J50" s="779"/>
      <c r="K50" s="793"/>
      <c r="L50" s="783"/>
      <c r="M50" s="783"/>
      <c r="N50" s="783"/>
      <c r="O50" s="793"/>
      <c r="P50" s="783"/>
      <c r="Q50" s="783"/>
      <c r="R50" s="783"/>
      <c r="S50" s="783"/>
      <c r="T50" s="784"/>
      <c r="U50" s="793"/>
      <c r="V50" s="783"/>
      <c r="W50" s="783"/>
      <c r="X50" s="783"/>
      <c r="Y50" s="783"/>
      <c r="Z50" s="783"/>
      <c r="AA50" s="783"/>
      <c r="AB50" s="783"/>
      <c r="AC50" s="784"/>
      <c r="AD50" s="783"/>
      <c r="AE50" s="783"/>
      <c r="AF50" s="783"/>
      <c r="AG50" s="783"/>
      <c r="AH50" s="783"/>
      <c r="AI50" s="783"/>
      <c r="AJ50" s="783"/>
      <c r="AK50" s="783"/>
      <c r="AL50" s="783"/>
      <c r="AM50" s="783"/>
      <c r="AN50" s="783"/>
      <c r="AO50" s="783"/>
      <c r="AP50" s="783"/>
      <c r="AQ50" s="783"/>
      <c r="AR50" s="784"/>
    </row>
    <row r="51" spans="1:44">
      <c r="F51" s="775" t="s">
        <v>412</v>
      </c>
      <c r="G51" s="776"/>
      <c r="H51" s="776"/>
      <c r="I51" s="776"/>
      <c r="J51" s="777"/>
      <c r="K51" s="792"/>
      <c r="L51" s="781"/>
      <c r="M51" s="781"/>
      <c r="N51" s="781"/>
      <c r="O51" s="792"/>
      <c r="P51" s="781"/>
      <c r="Q51" s="781"/>
      <c r="R51" s="781"/>
      <c r="S51" s="781"/>
      <c r="T51" s="782"/>
      <c r="U51" s="792"/>
      <c r="V51" s="781"/>
      <c r="W51" s="781"/>
      <c r="X51" s="781"/>
      <c r="Y51" s="781"/>
      <c r="Z51" s="781"/>
      <c r="AA51" s="781"/>
      <c r="AB51" s="781"/>
      <c r="AC51" s="782"/>
      <c r="AD51" s="781"/>
      <c r="AE51" s="781"/>
      <c r="AF51" s="781"/>
      <c r="AG51" s="781"/>
      <c r="AH51" s="781"/>
      <c r="AI51" s="781"/>
      <c r="AJ51" s="781"/>
      <c r="AK51" s="781"/>
      <c r="AL51" s="781"/>
      <c r="AM51" s="781"/>
      <c r="AN51" s="781"/>
      <c r="AO51" s="781"/>
      <c r="AP51" s="781"/>
      <c r="AQ51" s="781"/>
      <c r="AR51" s="782"/>
    </row>
    <row r="52" spans="1:44">
      <c r="F52" s="778"/>
      <c r="G52" s="779"/>
      <c r="H52" s="779"/>
      <c r="I52" s="779"/>
      <c r="J52" s="780"/>
      <c r="K52" s="793"/>
      <c r="L52" s="783"/>
      <c r="M52" s="783"/>
      <c r="N52" s="783"/>
      <c r="O52" s="793"/>
      <c r="P52" s="783"/>
      <c r="Q52" s="783"/>
      <c r="R52" s="783"/>
      <c r="S52" s="783"/>
      <c r="T52" s="784"/>
      <c r="U52" s="793"/>
      <c r="V52" s="783"/>
      <c r="W52" s="783"/>
      <c r="X52" s="783"/>
      <c r="Y52" s="783"/>
      <c r="Z52" s="783"/>
      <c r="AA52" s="783"/>
      <c r="AB52" s="783"/>
      <c r="AC52" s="784"/>
      <c r="AD52" s="783"/>
      <c r="AE52" s="783"/>
      <c r="AF52" s="783"/>
      <c r="AG52" s="783"/>
      <c r="AH52" s="783"/>
      <c r="AI52" s="783"/>
      <c r="AJ52" s="783"/>
      <c r="AK52" s="783"/>
      <c r="AL52" s="783"/>
      <c r="AM52" s="783"/>
      <c r="AN52" s="783"/>
      <c r="AO52" s="783"/>
      <c r="AP52" s="783"/>
      <c r="AQ52" s="783"/>
      <c r="AR52" s="784"/>
    </row>
    <row r="53" spans="1:44">
      <c r="F53" s="160" t="s">
        <v>413</v>
      </c>
    </row>
    <row r="54" spans="1:44">
      <c r="F54" s="160" t="s">
        <v>414</v>
      </c>
    </row>
    <row r="55" spans="1:44">
      <c r="F55" s="160" t="s">
        <v>415</v>
      </c>
    </row>
    <row r="56" spans="1:44">
      <c r="F56" s="160" t="s">
        <v>700</v>
      </c>
      <c r="G56" s="396"/>
      <c r="H56" s="396"/>
      <c r="I56" s="396"/>
      <c r="J56" s="396"/>
      <c r="K56" s="396"/>
      <c r="L56" s="396"/>
      <c r="M56" s="396"/>
      <c r="N56" s="396"/>
      <c r="O56" s="396"/>
      <c r="P56" s="396"/>
      <c r="Q56" s="396"/>
      <c r="R56" s="396"/>
      <c r="S56" s="396"/>
      <c r="T56" s="396"/>
      <c r="U56" s="396"/>
      <c r="V56" s="396"/>
      <c r="W56" s="396"/>
      <c r="X56" s="396"/>
      <c r="Y56" s="396"/>
      <c r="Z56" s="396"/>
      <c r="AA56" s="396"/>
      <c r="AB56" s="396"/>
      <c r="AC56" s="396"/>
      <c r="AD56" s="396"/>
      <c r="AE56" s="396"/>
      <c r="AF56" s="396"/>
      <c r="AG56" s="396"/>
      <c r="AH56" s="396"/>
      <c r="AI56" s="396"/>
      <c r="AJ56" s="396"/>
      <c r="AK56" s="396"/>
      <c r="AL56" s="396"/>
      <c r="AM56" s="396"/>
      <c r="AN56" s="396"/>
      <c r="AO56" s="396"/>
      <c r="AP56" s="396"/>
      <c r="AQ56" s="396"/>
      <c r="AR56" s="396"/>
    </row>
    <row r="57" spans="1:44">
      <c r="F57" s="160" t="s">
        <v>701</v>
      </c>
      <c r="G57" s="396"/>
      <c r="H57" s="396"/>
      <c r="I57" s="192"/>
      <c r="J57" s="192"/>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2"/>
      <c r="AL57" s="192"/>
      <c r="AM57" s="192"/>
      <c r="AN57" s="192"/>
      <c r="AO57" s="192"/>
      <c r="AP57" s="192"/>
      <c r="AQ57" s="396"/>
      <c r="AR57" s="396"/>
    </row>
    <row r="58" spans="1:44">
      <c r="I58" s="162"/>
      <c r="J58" s="162"/>
      <c r="K58" s="162"/>
      <c r="L58" s="162"/>
      <c r="M58" s="162"/>
      <c r="N58" s="162"/>
      <c r="O58" s="162"/>
      <c r="P58" s="163"/>
      <c r="Q58" s="163"/>
      <c r="R58" s="163"/>
      <c r="S58" s="163"/>
      <c r="T58" s="163"/>
      <c r="U58" s="163"/>
      <c r="V58" s="163"/>
      <c r="W58" s="163"/>
      <c r="X58" s="163"/>
      <c r="Y58" s="163"/>
      <c r="Z58" s="192"/>
      <c r="AA58" s="192"/>
      <c r="AB58" s="192"/>
      <c r="AC58" s="192"/>
      <c r="AD58" s="192"/>
      <c r="AE58" s="192"/>
      <c r="AF58" s="192"/>
      <c r="AG58" s="192"/>
      <c r="AH58" s="192"/>
      <c r="AI58" s="192"/>
      <c r="AJ58" s="192"/>
      <c r="AK58" s="192"/>
      <c r="AL58" s="192"/>
      <c r="AM58" s="192"/>
      <c r="AN58" s="192"/>
      <c r="AO58" s="192"/>
      <c r="AP58" s="192"/>
    </row>
    <row r="59" spans="1:44">
      <c r="A59" s="160" t="s">
        <v>622</v>
      </c>
      <c r="F59" s="794" t="s">
        <v>628</v>
      </c>
      <c r="G59" s="795"/>
      <c r="H59" s="795"/>
      <c r="I59" s="795"/>
      <c r="J59" s="795"/>
      <c r="K59" s="795"/>
      <c r="L59" s="795"/>
      <c r="M59" s="795"/>
      <c r="N59" s="795"/>
      <c r="O59" s="795"/>
      <c r="P59" s="795"/>
      <c r="Q59" s="795"/>
      <c r="R59" s="795"/>
      <c r="S59" s="795"/>
      <c r="T59" s="795"/>
      <c r="U59" s="795"/>
      <c r="V59" s="795"/>
      <c r="W59" s="795"/>
      <c r="X59" s="795"/>
      <c r="Y59" s="795"/>
      <c r="Z59" s="795"/>
      <c r="AA59" s="795"/>
      <c r="AB59" s="795"/>
      <c r="AC59" s="795"/>
      <c r="AD59" s="795"/>
      <c r="AE59" s="795"/>
      <c r="AF59" s="795"/>
      <c r="AG59" s="795"/>
      <c r="AH59" s="795"/>
      <c r="AI59" s="795"/>
      <c r="AJ59" s="795"/>
      <c r="AK59" s="795"/>
      <c r="AL59" s="795"/>
      <c r="AM59" s="795"/>
      <c r="AN59" s="795"/>
      <c r="AO59" s="795"/>
      <c r="AP59" s="795"/>
      <c r="AQ59" s="795"/>
      <c r="AR59" s="795"/>
    </row>
    <row r="60" spans="1:44">
      <c r="F60" s="756" t="s">
        <v>627</v>
      </c>
      <c r="G60" s="758"/>
      <c r="H60" s="758"/>
      <c r="I60" s="758"/>
      <c r="J60" s="758"/>
      <c r="K60" s="758"/>
      <c r="L60" s="758"/>
      <c r="M60" s="758"/>
      <c r="N60" s="758"/>
      <c r="O60" s="758"/>
      <c r="P60" s="759"/>
      <c r="Q60" s="755" t="s">
        <v>623</v>
      </c>
      <c r="R60" s="760"/>
      <c r="S60" s="760"/>
      <c r="T60" s="760"/>
      <c r="U60" s="760"/>
      <c r="V60" s="760"/>
      <c r="W60" s="760"/>
      <c r="X60" s="760"/>
      <c r="Y60" s="760"/>
      <c r="Z60" s="760"/>
      <c r="AA60" s="755" t="s">
        <v>624</v>
      </c>
      <c r="AB60" s="755"/>
      <c r="AC60" s="755"/>
      <c r="AD60" s="755"/>
      <c r="AE60" s="756" t="s">
        <v>625</v>
      </c>
      <c r="AF60" s="725"/>
      <c r="AG60" s="725"/>
      <c r="AH60" s="725"/>
      <c r="AI60" s="757"/>
      <c r="AJ60" s="755" t="s">
        <v>626</v>
      </c>
      <c r="AK60" s="755"/>
      <c r="AL60" s="755"/>
      <c r="AM60" s="755"/>
      <c r="AN60" s="755"/>
      <c r="AO60" s="755"/>
      <c r="AP60" s="755"/>
      <c r="AQ60" s="755"/>
      <c r="AR60" s="755"/>
    </row>
    <row r="61" spans="1:44">
      <c r="F61" s="756" t="str">
        <f>IF(外注付託依頼書!AQ42="","",外注付託依頼書!AQ42)</f>
        <v/>
      </c>
      <c r="G61" s="758"/>
      <c r="H61" s="758"/>
      <c r="I61" s="758"/>
      <c r="J61" s="758"/>
      <c r="K61" s="758"/>
      <c r="L61" s="758"/>
      <c r="M61" s="758"/>
      <c r="N61" s="758"/>
      <c r="O61" s="758"/>
      <c r="P61" s="759"/>
      <c r="Q61" s="755" t="str">
        <f>IF(外注付託依頼書!AQ43="","",外注付託依頼書!AQ43)</f>
        <v/>
      </c>
      <c r="R61" s="760"/>
      <c r="S61" s="760"/>
      <c r="T61" s="760"/>
      <c r="U61" s="760"/>
      <c r="V61" s="760"/>
      <c r="W61" s="760"/>
      <c r="X61" s="760"/>
      <c r="Y61" s="760"/>
      <c r="Z61" s="760"/>
      <c r="AA61" s="755" t="str">
        <f>IF(外注付託依頼書!AQ44="","",外注付託依頼書!AQ44)</f>
        <v/>
      </c>
      <c r="AB61" s="755"/>
      <c r="AC61" s="755"/>
      <c r="AD61" s="755"/>
      <c r="AE61" s="756" t="str">
        <f>IF(外注付託依頼書!AQ45="","",外注付託依頼書!AQ45)</f>
        <v/>
      </c>
      <c r="AF61" s="725"/>
      <c r="AG61" s="725"/>
      <c r="AH61" s="725"/>
      <c r="AI61" s="757"/>
      <c r="AJ61" s="755" t="str">
        <f>IF(外注付託依頼書!AQ46="","",外注付託依頼書!AQ46)</f>
        <v/>
      </c>
      <c r="AK61" s="755"/>
      <c r="AL61" s="755"/>
      <c r="AM61" s="755"/>
      <c r="AN61" s="755"/>
      <c r="AO61" s="755"/>
      <c r="AP61" s="755"/>
      <c r="AQ61" s="755"/>
      <c r="AR61" s="755"/>
    </row>
  </sheetData>
  <mergeCells count="86">
    <mergeCell ref="F59:AR59"/>
    <mergeCell ref="D47:E48"/>
    <mergeCell ref="F43:T44"/>
    <mergeCell ref="F49:J50"/>
    <mergeCell ref="AD47:AR48"/>
    <mergeCell ref="U49:AC50"/>
    <mergeCell ref="AD49:AR50"/>
    <mergeCell ref="AD51:AR52"/>
    <mergeCell ref="U47:AC48"/>
    <mergeCell ref="O49:T50"/>
    <mergeCell ref="D43:E44"/>
    <mergeCell ref="F46:J46"/>
    <mergeCell ref="K47:N48"/>
    <mergeCell ref="F51:J52"/>
    <mergeCell ref="O46:T46"/>
    <mergeCell ref="O47:T48"/>
    <mergeCell ref="F47:J48"/>
    <mergeCell ref="U51:AC52"/>
    <mergeCell ref="K51:N52"/>
    <mergeCell ref="K49:N50"/>
    <mergeCell ref="AD39:AR40"/>
    <mergeCell ref="AD41:AR42"/>
    <mergeCell ref="AD43:AR44"/>
    <mergeCell ref="U46:AC46"/>
    <mergeCell ref="AD46:AR46"/>
    <mergeCell ref="U43:AC44"/>
    <mergeCell ref="U41:AC42"/>
    <mergeCell ref="O51:T52"/>
    <mergeCell ref="K46:N46"/>
    <mergeCell ref="O41:T42"/>
    <mergeCell ref="F41:J42"/>
    <mergeCell ref="K39:N40"/>
    <mergeCell ref="O31:T32"/>
    <mergeCell ref="F31:J32"/>
    <mergeCell ref="K35:N36"/>
    <mergeCell ref="K41:N42"/>
    <mergeCell ref="O39:T40"/>
    <mergeCell ref="I1:AJ2"/>
    <mergeCell ref="I3:AJ3"/>
    <mergeCell ref="U29:AC30"/>
    <mergeCell ref="U28:AC28"/>
    <mergeCell ref="AD28:AR28"/>
    <mergeCell ref="AF4:AQ4"/>
    <mergeCell ref="AD29:AR30"/>
    <mergeCell ref="F16:AR17"/>
    <mergeCell ref="F29:J30"/>
    <mergeCell ref="AF5:AQ5"/>
    <mergeCell ref="R9:T9"/>
    <mergeCell ref="AF13:AR13"/>
    <mergeCell ref="Y26:AA26"/>
    <mergeCell ref="U31:AC32"/>
    <mergeCell ref="U39:AC40"/>
    <mergeCell ref="A6:F6"/>
    <mergeCell ref="F28:J28"/>
    <mergeCell ref="AD37:AR38"/>
    <mergeCell ref="U37:AC38"/>
    <mergeCell ref="AD33:AR34"/>
    <mergeCell ref="AD35:AR36"/>
    <mergeCell ref="U35:AC36"/>
    <mergeCell ref="O28:T28"/>
    <mergeCell ref="O29:T30"/>
    <mergeCell ref="F39:J40"/>
    <mergeCell ref="AD31:AR32"/>
    <mergeCell ref="K28:N28"/>
    <mergeCell ref="K29:N30"/>
    <mergeCell ref="K31:N32"/>
    <mergeCell ref="U33:AC34"/>
    <mergeCell ref="K37:N38"/>
    <mergeCell ref="D37:E38"/>
    <mergeCell ref="F37:J38"/>
    <mergeCell ref="K33:N34"/>
    <mergeCell ref="F33:J34"/>
    <mergeCell ref="F35:J36"/>
    <mergeCell ref="O35:T36"/>
    <mergeCell ref="O37:T38"/>
    <mergeCell ref="O33:T34"/>
    <mergeCell ref="AA60:AD60"/>
    <mergeCell ref="AJ60:AR60"/>
    <mergeCell ref="AE60:AI60"/>
    <mergeCell ref="F60:P60"/>
    <mergeCell ref="Q60:Z60"/>
    <mergeCell ref="AA61:AD61"/>
    <mergeCell ref="AJ61:AR61"/>
    <mergeCell ref="AE61:AI61"/>
    <mergeCell ref="F61:P61"/>
    <mergeCell ref="Q61:Z61"/>
  </mergeCells>
  <phoneticPr fontId="2"/>
  <pageMargins left="0.78740157480314965" right="0.19685039370078741" top="0.78740157480314965" bottom="0.19685039370078741" header="0.51181102362204722" footer="0.34"/>
  <pageSetup paperSize="9" orientation="portrait" horizontalDpi="4294967293" r:id="rId1"/>
  <headerFooter alignWithMargins="0"/>
  <drawing r:id="rId2"/>
</worksheet>
</file>

<file path=xl/worksheets/sheet10.xml><?xml version="1.0" encoding="utf-8"?>
<worksheet xmlns="http://schemas.openxmlformats.org/spreadsheetml/2006/main" xmlns:r="http://schemas.openxmlformats.org/officeDocument/2006/relationships">
  <sheetPr codeName="Sheet17"/>
  <dimension ref="A1:AI55"/>
  <sheetViews>
    <sheetView workbookViewId="0">
      <selection activeCell="AJ36" sqref="AJ36"/>
    </sheetView>
  </sheetViews>
  <sheetFormatPr defaultRowHeight="13.5"/>
  <cols>
    <col min="1" max="1" width="4" style="160" customWidth="1"/>
    <col min="2" max="2" width="4.5" style="160" customWidth="1"/>
    <col min="3" max="3" width="1.875" style="160" customWidth="1"/>
    <col min="4" max="30" width="2" style="160" customWidth="1"/>
    <col min="31" max="31" width="6" style="160" customWidth="1"/>
    <col min="32" max="33" width="7" style="160" customWidth="1"/>
    <col min="34" max="34" width="7.5" style="160" customWidth="1"/>
    <col min="35" max="35" width="2" style="160" customWidth="1"/>
    <col min="36" max="36" width="5.375" style="160" customWidth="1"/>
    <col min="37" max="16384" width="9" style="160"/>
  </cols>
  <sheetData>
    <row r="1" spans="1:35" ht="15" customHeight="1">
      <c r="A1" s="737" t="s">
        <v>416</v>
      </c>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159"/>
    </row>
    <row r="2" spans="1:35" ht="15" customHeight="1">
      <c r="A2" s="737"/>
      <c r="B2" s="737"/>
      <c r="C2" s="737"/>
      <c r="D2" s="737"/>
      <c r="E2" s="737"/>
      <c r="F2" s="737"/>
      <c r="G2" s="737"/>
      <c r="H2" s="737"/>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159"/>
    </row>
    <row r="3" spans="1:35" ht="15" customHeight="1">
      <c r="A3" s="193"/>
      <c r="B3" s="193"/>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805" t="str">
        <f>_注文書!AF4</f>
        <v/>
      </c>
      <c r="AG3" s="805"/>
      <c r="AH3" s="805"/>
      <c r="AI3" s="194"/>
    </row>
    <row r="4" spans="1:35" ht="15" customHeight="1">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806"/>
      <c r="AG4" s="806"/>
      <c r="AH4" s="806"/>
      <c r="AI4" s="196"/>
    </row>
    <row r="5" spans="1:35" ht="15" customHeight="1">
      <c r="A5" s="193"/>
      <c r="B5" s="193"/>
      <c r="C5" s="193"/>
      <c r="D5" s="193"/>
      <c r="E5" s="193"/>
      <c r="F5" s="193"/>
      <c r="G5" s="193"/>
      <c r="H5" s="193"/>
      <c r="I5" s="193"/>
      <c r="J5" s="193"/>
      <c r="K5" s="193"/>
      <c r="L5" s="193"/>
      <c r="M5" s="193"/>
      <c r="N5" s="193"/>
      <c r="O5" s="193"/>
      <c r="P5" s="193"/>
      <c r="Q5" s="193"/>
      <c r="R5" s="193"/>
      <c r="S5" s="193"/>
      <c r="T5" s="193"/>
      <c r="U5" s="193"/>
      <c r="V5" s="193"/>
      <c r="W5" s="193"/>
      <c r="X5" s="193"/>
      <c r="Y5" s="193"/>
      <c r="Z5" s="193"/>
      <c r="AA5" s="193"/>
      <c r="AB5" s="193"/>
      <c r="AC5" s="193"/>
      <c r="AD5" s="193"/>
      <c r="AE5" s="193"/>
      <c r="AF5" s="193"/>
      <c r="AG5" s="193"/>
      <c r="AH5" s="193"/>
      <c r="AI5" s="197"/>
    </row>
    <row r="6" spans="1:35" ht="15" customHeight="1">
      <c r="A6" s="807" t="str">
        <f>IF(外注付託依頼書!$BG$9&lt;&gt;"",外注付託依頼書!$BG$9,"")</f>
        <v/>
      </c>
      <c r="B6" s="807"/>
      <c r="C6" s="807"/>
      <c r="D6" s="198"/>
      <c r="E6" s="198"/>
      <c r="F6" s="198"/>
      <c r="G6" s="198"/>
      <c r="H6" s="198"/>
      <c r="I6" s="198"/>
      <c r="J6" s="198"/>
      <c r="K6" s="198"/>
      <c r="L6" s="198"/>
      <c r="M6" s="198"/>
      <c r="N6" s="198"/>
      <c r="O6" s="198"/>
      <c r="P6" s="198"/>
      <c r="Q6" s="198"/>
      <c r="R6" s="198"/>
      <c r="S6" s="198"/>
      <c r="T6" s="198"/>
      <c r="U6" s="198"/>
      <c r="V6" s="198"/>
      <c r="W6" s="198"/>
      <c r="X6" s="198"/>
      <c r="Y6" s="198"/>
      <c r="Z6" s="199"/>
      <c r="AA6" s="199"/>
      <c r="AB6" s="199"/>
      <c r="AC6" s="199"/>
      <c r="AD6" s="199"/>
      <c r="AE6" s="199"/>
      <c r="AF6" s="199"/>
      <c r="AG6" s="193"/>
      <c r="AH6" s="193"/>
      <c r="AI6" s="193"/>
    </row>
    <row r="7" spans="1:35" ht="15" customHeight="1">
      <c r="A7" s="808" t="str">
        <f>IF(外注付託依頼書!$BG$10&lt;&gt;"",外注付託依頼書!$BG$10,"")</f>
        <v/>
      </c>
      <c r="B7" s="808"/>
      <c r="C7" s="808"/>
      <c r="D7" s="808"/>
      <c r="E7" s="808"/>
      <c r="F7" s="808"/>
      <c r="G7" s="808"/>
      <c r="H7" s="808"/>
      <c r="I7" s="808"/>
      <c r="J7" s="808"/>
      <c r="K7" s="808"/>
      <c r="L7" s="808"/>
      <c r="M7" s="808"/>
      <c r="N7" s="808"/>
      <c r="O7" s="808"/>
      <c r="P7" s="808"/>
      <c r="Q7" s="808"/>
      <c r="R7" s="808"/>
      <c r="S7" s="808"/>
      <c r="T7" s="808"/>
      <c r="U7" s="808"/>
      <c r="V7" s="808"/>
      <c r="W7" s="808"/>
      <c r="X7" s="808"/>
      <c r="Y7" s="808"/>
      <c r="Z7" s="808"/>
      <c r="AA7" s="808"/>
      <c r="AB7" s="808"/>
      <c r="AC7" s="808"/>
      <c r="AD7" s="808"/>
      <c r="AE7" s="808"/>
      <c r="AF7" s="198"/>
      <c r="AG7" s="200"/>
      <c r="AH7" s="193"/>
      <c r="AI7" s="193"/>
    </row>
    <row r="8" spans="1:35" ht="15" customHeight="1">
      <c r="A8" s="198" t="str">
        <f>IF(ContractorName&lt;&gt;"",ContractorName,"")</f>
        <v>有限責任事業組合インフラ・アセット・エンジニアリング</v>
      </c>
      <c r="B8" s="198"/>
      <c r="C8" s="198"/>
      <c r="D8" s="198"/>
      <c r="E8" s="198"/>
      <c r="F8" s="198"/>
      <c r="G8" s="198"/>
      <c r="H8" s="198"/>
      <c r="I8" s="198"/>
      <c r="J8" s="198"/>
      <c r="K8" s="198"/>
      <c r="L8" s="198"/>
      <c r="M8" s="198"/>
      <c r="N8" s="198"/>
      <c r="O8" s="198"/>
      <c r="P8" s="198"/>
      <c r="Q8" s="198"/>
      <c r="R8" s="198"/>
      <c r="S8" s="198"/>
      <c r="T8" s="198"/>
      <c r="U8" s="198"/>
      <c r="V8" s="198"/>
      <c r="W8" s="198"/>
      <c r="X8" s="198"/>
      <c r="Y8" s="198"/>
      <c r="Z8" s="198"/>
      <c r="AA8" s="198"/>
      <c r="AB8" s="198"/>
      <c r="AC8" s="801"/>
      <c r="AD8" s="801"/>
      <c r="AE8" s="801"/>
      <c r="AF8" s="198"/>
      <c r="AG8" s="200"/>
      <c r="AH8" s="200"/>
      <c r="AI8" s="200"/>
    </row>
    <row r="9" spans="1:35" ht="15" customHeight="1">
      <c r="A9" s="160" t="str">
        <f>IF(外注付託依頼書!$BG$11&lt;&gt;"",外注付託依頼書!$BG$11 &amp; " ","") &amp; IF(外注付託依頼書!$BG$12&lt;&gt;"",外注付託依頼書!$BG$12,"")</f>
        <v/>
      </c>
      <c r="B9" s="193"/>
      <c r="C9" s="193"/>
      <c r="D9" s="193"/>
      <c r="E9" s="193"/>
      <c r="F9" s="193"/>
      <c r="G9" s="193"/>
      <c r="H9" s="193"/>
      <c r="I9" s="193"/>
      <c r="J9" s="193"/>
      <c r="K9" s="193"/>
      <c r="L9" s="193"/>
      <c r="M9" s="801" t="str">
        <f>_注文書!R9</f>
        <v>御中</v>
      </c>
      <c r="N9" s="801"/>
      <c r="O9" s="801"/>
      <c r="P9" s="801"/>
      <c r="Q9" s="801"/>
      <c r="R9" s="801"/>
      <c r="S9" s="193"/>
      <c r="T9" s="193"/>
      <c r="U9" s="193"/>
      <c r="V9" s="193"/>
      <c r="W9" s="193"/>
      <c r="X9" s="193"/>
      <c r="Y9" s="193"/>
      <c r="Z9" s="193"/>
      <c r="AB9" s="211" t="str">
        <f>IF(外注付託依頼書!AQ53&lt;&gt;"",外注付託依頼書!AQ53,"")</f>
        <v/>
      </c>
      <c r="AD9" s="211"/>
      <c r="AE9" s="211"/>
      <c r="AF9" s="211"/>
      <c r="AG9" s="211"/>
      <c r="AH9" s="211"/>
      <c r="AI9" s="198"/>
    </row>
    <row r="10" spans="1:35" ht="15" customHeight="1">
      <c r="B10" s="806" t="str">
        <f>IF(外注付託依頼書!G28&lt;&gt;"","（"&amp;外注付託依頼書!G28&amp;")","")</f>
        <v/>
      </c>
      <c r="C10" s="806"/>
      <c r="D10" s="806"/>
      <c r="E10" s="806"/>
      <c r="F10" s="806"/>
      <c r="G10" s="806"/>
      <c r="H10" s="806"/>
      <c r="I10" s="806"/>
      <c r="J10" s="195"/>
      <c r="K10" s="195"/>
      <c r="L10" s="195"/>
      <c r="M10" s="195"/>
      <c r="N10" s="195"/>
      <c r="O10" s="195"/>
      <c r="P10" s="195"/>
      <c r="Q10" s="195"/>
      <c r="R10" s="195"/>
      <c r="S10" s="195"/>
      <c r="T10" s="195"/>
      <c r="U10" s="195"/>
      <c r="V10" s="195"/>
      <c r="W10" s="195"/>
      <c r="X10" s="195"/>
      <c r="Y10" s="195"/>
      <c r="Z10" s="193"/>
      <c r="AB10" s="211" t="str">
        <f>IF(外注付託依頼書!AQ54&lt;&gt;"",外注付託依頼書!AQ54,"")</f>
        <v/>
      </c>
      <c r="AD10" s="211"/>
      <c r="AE10" s="211"/>
      <c r="AF10" s="211"/>
      <c r="AG10" s="211"/>
      <c r="AH10" s="211"/>
      <c r="AI10" s="198"/>
    </row>
    <row r="11" spans="1:35" ht="15" customHeight="1">
      <c r="A11" s="193"/>
      <c r="B11" s="193"/>
      <c r="C11" s="193"/>
      <c r="D11" s="193"/>
      <c r="E11" s="193"/>
      <c r="F11" s="193"/>
      <c r="G11" s="193"/>
      <c r="H11" s="193"/>
      <c r="I11" s="193"/>
      <c r="J11" s="193"/>
      <c r="K11" s="193"/>
      <c r="L11" s="193"/>
      <c r="M11" s="193"/>
      <c r="N11" s="193"/>
      <c r="O11" s="193"/>
      <c r="P11" s="193"/>
      <c r="Q11" s="193"/>
      <c r="R11" s="193"/>
      <c r="S11" s="193"/>
      <c r="T11" s="193"/>
      <c r="U11" s="193"/>
      <c r="V11" s="193"/>
      <c r="W11" s="193"/>
      <c r="X11" s="193"/>
      <c r="Y11" s="193"/>
      <c r="Z11" s="193"/>
      <c r="AB11" s="211" t="str">
        <f>IF(外注付託依頼書!AQ49&lt;&gt;"",外注付託依頼書!AQ49,"")</f>
        <v/>
      </c>
      <c r="AD11" s="211"/>
      <c r="AE11" s="211"/>
      <c r="AF11" s="211"/>
      <c r="AG11" s="211"/>
      <c r="AH11" s="211"/>
      <c r="AI11" s="198"/>
    </row>
    <row r="12" spans="1:35" ht="15" customHeight="1">
      <c r="C12" s="193"/>
      <c r="D12" s="193"/>
      <c r="E12" s="193"/>
      <c r="F12" s="193"/>
      <c r="G12" s="193"/>
      <c r="H12" s="193"/>
      <c r="I12" s="193"/>
      <c r="J12" s="193"/>
      <c r="K12" s="193"/>
      <c r="L12" s="193"/>
      <c r="M12" s="193"/>
      <c r="N12" s="193"/>
      <c r="O12" s="193"/>
      <c r="P12" s="193"/>
      <c r="Q12" s="193"/>
      <c r="R12" s="193"/>
      <c r="S12" s="193"/>
      <c r="T12" s="193"/>
      <c r="U12" s="193"/>
      <c r="V12" s="193"/>
      <c r="W12" s="193"/>
      <c r="X12" s="193"/>
      <c r="Y12" s="193"/>
      <c r="Z12" s="193"/>
      <c r="AB12" s="211" t="str">
        <f>IF(外注付託依頼書!AQ57&lt;&gt;"",外注付託依頼書!AQ57,"")</f>
        <v/>
      </c>
      <c r="AD12" s="211"/>
      <c r="AE12" s="211"/>
      <c r="AF12" s="211"/>
      <c r="AG12" s="211"/>
      <c r="AH12" s="211"/>
      <c r="AI12" s="198"/>
    </row>
    <row r="13" spans="1:35" ht="15" customHeight="1">
      <c r="C13" s="193"/>
      <c r="D13" s="193"/>
      <c r="E13" s="193"/>
      <c r="F13" s="193"/>
      <c r="G13" s="193"/>
      <c r="H13" s="193"/>
      <c r="I13" s="193"/>
      <c r="J13" s="193"/>
      <c r="K13" s="193"/>
      <c r="L13" s="193"/>
      <c r="M13" s="193"/>
      <c r="N13" s="193"/>
      <c r="O13" s="193"/>
      <c r="P13" s="193"/>
      <c r="Q13" s="193"/>
      <c r="R13" s="193"/>
      <c r="S13" s="193"/>
      <c r="T13" s="193"/>
      <c r="U13" s="193"/>
      <c r="V13" s="193"/>
      <c r="W13" s="193"/>
      <c r="X13" s="193"/>
      <c r="Y13" s="193"/>
      <c r="Z13" s="193"/>
      <c r="AA13" s="193"/>
      <c r="AB13" s="193"/>
      <c r="AC13" s="193"/>
      <c r="AD13" s="201" t="s">
        <v>417</v>
      </c>
      <c r="AE13" s="797" t="str">
        <f>IF(外注付託依頼書!AQ55&lt;&gt;"",外注付託依頼書!AQ55,"")</f>
        <v/>
      </c>
      <c r="AF13" s="797"/>
      <c r="AG13" s="797"/>
      <c r="AH13" s="797"/>
      <c r="AI13" s="200"/>
    </row>
    <row r="14" spans="1:35" ht="15" customHeight="1">
      <c r="A14" s="193"/>
      <c r="B14" s="193"/>
      <c r="C14" s="193"/>
      <c r="D14" s="193"/>
      <c r="E14" s="193"/>
      <c r="F14" s="193"/>
      <c r="G14" s="193"/>
      <c r="H14" s="193"/>
      <c r="I14" s="193"/>
      <c r="J14" s="193"/>
      <c r="K14" s="193"/>
      <c r="L14" s="193"/>
      <c r="M14" s="193"/>
      <c r="N14" s="193"/>
      <c r="O14" s="193"/>
      <c r="P14" s="193"/>
      <c r="Q14" s="193"/>
      <c r="R14" s="193"/>
      <c r="S14" s="193"/>
      <c r="T14" s="193"/>
      <c r="U14" s="193"/>
      <c r="V14" s="193"/>
      <c r="W14" s="193"/>
      <c r="X14" s="193"/>
      <c r="Y14" s="193"/>
      <c r="Z14" s="193"/>
      <c r="AA14" s="193"/>
      <c r="AB14" s="193"/>
      <c r="AC14" s="193"/>
      <c r="AD14" s="201" t="s">
        <v>418</v>
      </c>
      <c r="AE14" s="797" t="str">
        <f>IF(外注付託依頼書!AQ56&lt;&gt;"",外注付託依頼書!AQ56,"")</f>
        <v/>
      </c>
      <c r="AF14" s="797"/>
      <c r="AG14" s="797"/>
      <c r="AH14" s="797"/>
      <c r="AI14" s="193"/>
    </row>
    <row r="15" spans="1:35" ht="15" customHeight="1">
      <c r="A15" s="193"/>
      <c r="B15" s="193"/>
      <c r="C15" s="193"/>
      <c r="D15" s="193"/>
      <c r="E15" s="193"/>
      <c r="F15" s="193"/>
      <c r="G15" s="193"/>
      <c r="H15" s="193"/>
      <c r="I15" s="193"/>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row>
    <row r="16" spans="1:35" ht="15" customHeight="1">
      <c r="A16" s="798"/>
      <c r="B16" s="798"/>
      <c r="C16" s="798"/>
      <c r="D16" s="798"/>
      <c r="E16" s="798"/>
      <c r="F16" s="798"/>
      <c r="G16" s="798"/>
      <c r="H16" s="798"/>
      <c r="I16" s="798"/>
      <c r="J16" s="798"/>
      <c r="K16" s="798"/>
      <c r="L16" s="798"/>
      <c r="M16" s="798"/>
      <c r="N16" s="798"/>
      <c r="O16" s="798"/>
      <c r="P16" s="798"/>
      <c r="Q16" s="798"/>
      <c r="R16" s="798"/>
      <c r="S16" s="798"/>
      <c r="T16" s="798"/>
      <c r="U16" s="798"/>
      <c r="V16" s="798"/>
      <c r="W16" s="798"/>
      <c r="X16" s="798"/>
      <c r="Y16" s="798"/>
      <c r="Z16" s="798"/>
      <c r="AA16" s="798"/>
      <c r="AB16" s="798"/>
      <c r="AC16" s="798"/>
      <c r="AD16" s="798"/>
      <c r="AE16" s="798"/>
      <c r="AF16" s="798"/>
      <c r="AG16" s="798"/>
      <c r="AH16" s="798"/>
      <c r="AI16" s="202"/>
    </row>
    <row r="17" spans="1:35" ht="15" customHeight="1">
      <c r="A17" s="797" t="s">
        <v>653</v>
      </c>
      <c r="B17" s="797"/>
      <c r="C17" s="797"/>
      <c r="D17" s="797"/>
      <c r="E17" s="797"/>
      <c r="F17" s="797"/>
      <c r="G17" s="797"/>
      <c r="H17" s="797"/>
      <c r="I17" s="797"/>
      <c r="J17" s="797"/>
      <c r="K17" s="797"/>
      <c r="L17" s="797"/>
      <c r="M17" s="797"/>
      <c r="N17" s="797"/>
      <c r="O17" s="797"/>
      <c r="P17" s="797"/>
      <c r="Q17" s="797"/>
      <c r="R17" s="797"/>
      <c r="S17" s="797"/>
      <c r="T17" s="797"/>
      <c r="U17" s="797"/>
      <c r="V17" s="797"/>
      <c r="W17" s="797"/>
      <c r="X17" s="797"/>
      <c r="Y17" s="797"/>
      <c r="Z17" s="797"/>
      <c r="AA17" s="797"/>
      <c r="AB17" s="797"/>
      <c r="AC17" s="797"/>
      <c r="AD17" s="797"/>
      <c r="AE17" s="797"/>
      <c r="AF17" s="797"/>
      <c r="AG17" s="797"/>
      <c r="AH17" s="797"/>
      <c r="AI17" s="193"/>
    </row>
    <row r="18" spans="1:35" ht="14.25" customHeight="1">
      <c r="A18" s="804" t="str">
        <f>"注文書及び当社指定請書を送付致します。内容をご確認の上、請書に記名・捺印し、" &amp; IF(外注付託依頼書!AQ57 &amp; 外注付託依頼書!AQ58&lt;&gt;"",外注付託依頼書!AQ57 &amp; "  " &amp; 外注付託依頼書!AQ58,"                  ") &amp; "宛にご返送下さいますよう、お願い申し上げます。"</f>
        <v>注文書及び当社指定請書を送付致します。内容をご確認の上、請書に記名・捺印し、                  宛にご返送下さいますよう、お願い申し上げます。</v>
      </c>
      <c r="B18" s="804"/>
      <c r="C18" s="804"/>
      <c r="D18" s="804"/>
      <c r="E18" s="804"/>
      <c r="F18" s="804"/>
      <c r="G18" s="804"/>
      <c r="H18" s="804"/>
      <c r="I18" s="804"/>
      <c r="J18" s="804"/>
      <c r="K18" s="804"/>
      <c r="L18" s="804"/>
      <c r="M18" s="804"/>
      <c r="N18" s="804"/>
      <c r="O18" s="804"/>
      <c r="P18" s="804"/>
      <c r="Q18" s="804"/>
      <c r="R18" s="804"/>
      <c r="S18" s="804"/>
      <c r="T18" s="804"/>
      <c r="U18" s="804"/>
      <c r="V18" s="804"/>
      <c r="W18" s="804"/>
      <c r="X18" s="804"/>
      <c r="Y18" s="804"/>
      <c r="Z18" s="804"/>
      <c r="AA18" s="804"/>
      <c r="AB18" s="804"/>
      <c r="AC18" s="804"/>
      <c r="AD18" s="804"/>
      <c r="AE18" s="804"/>
      <c r="AF18" s="804"/>
      <c r="AG18" s="804"/>
      <c r="AH18" s="804"/>
      <c r="AI18" s="204"/>
    </row>
    <row r="19" spans="1:35" ht="14.25">
      <c r="A19" s="804"/>
      <c r="B19" s="804"/>
      <c r="C19" s="804"/>
      <c r="D19" s="804"/>
      <c r="E19" s="804"/>
      <c r="F19" s="804"/>
      <c r="G19" s="804"/>
      <c r="H19" s="804"/>
      <c r="I19" s="804"/>
      <c r="J19" s="804"/>
      <c r="K19" s="804"/>
      <c r="L19" s="804"/>
      <c r="M19" s="804"/>
      <c r="N19" s="804"/>
      <c r="O19" s="804"/>
      <c r="P19" s="804"/>
      <c r="Q19" s="804"/>
      <c r="R19" s="804"/>
      <c r="S19" s="804"/>
      <c r="T19" s="804"/>
      <c r="U19" s="804"/>
      <c r="V19" s="804"/>
      <c r="W19" s="804"/>
      <c r="X19" s="804"/>
      <c r="Y19" s="804"/>
      <c r="Z19" s="804"/>
      <c r="AA19" s="804"/>
      <c r="AB19" s="804"/>
      <c r="AC19" s="804"/>
      <c r="AD19" s="804"/>
      <c r="AE19" s="804"/>
      <c r="AF19" s="804"/>
      <c r="AG19" s="804"/>
      <c r="AH19" s="804"/>
      <c r="AI19" s="204"/>
    </row>
    <row r="20" spans="1:35" ht="6" customHeight="1">
      <c r="A20" s="261"/>
      <c r="B20" s="261"/>
      <c r="C20" s="261"/>
      <c r="D20" s="261"/>
      <c r="E20" s="261"/>
      <c r="F20" s="261"/>
      <c r="G20" s="261"/>
      <c r="H20" s="261"/>
      <c r="I20" s="261"/>
      <c r="J20" s="261"/>
      <c r="K20" s="261"/>
      <c r="L20" s="261"/>
      <c r="M20" s="261"/>
      <c r="N20" s="261"/>
      <c r="O20" s="261"/>
      <c r="P20" s="261"/>
      <c r="Q20" s="261"/>
      <c r="R20" s="261"/>
      <c r="S20" s="261"/>
      <c r="T20" s="261"/>
      <c r="U20" s="261"/>
      <c r="V20" s="261"/>
      <c r="W20" s="261"/>
      <c r="X20" s="261"/>
      <c r="Y20" s="261"/>
      <c r="Z20" s="261"/>
      <c r="AA20" s="261"/>
      <c r="AB20" s="261"/>
      <c r="AC20" s="261"/>
      <c r="AD20" s="261"/>
      <c r="AE20" s="261"/>
      <c r="AF20" s="261"/>
      <c r="AG20" s="261"/>
      <c r="AH20" s="261"/>
      <c r="AI20" s="193"/>
    </row>
    <row r="21" spans="1:35" ht="14.25">
      <c r="A21" s="799" t="s">
        <v>654</v>
      </c>
      <c r="B21" s="799"/>
      <c r="C21" s="799"/>
      <c r="D21" s="799"/>
      <c r="E21" s="799"/>
      <c r="F21" s="799"/>
      <c r="G21" s="799"/>
      <c r="H21" s="799"/>
      <c r="I21" s="799"/>
      <c r="J21" s="799"/>
      <c r="K21" s="799"/>
      <c r="L21" s="799"/>
      <c r="M21" s="799"/>
      <c r="N21" s="799"/>
      <c r="O21" s="799"/>
      <c r="P21" s="799"/>
      <c r="Q21" s="799"/>
      <c r="R21" s="799"/>
      <c r="S21" s="799"/>
      <c r="T21" s="799"/>
      <c r="U21" s="799"/>
      <c r="V21" s="799"/>
      <c r="W21" s="799"/>
      <c r="X21" s="799"/>
      <c r="Y21" s="799"/>
      <c r="Z21" s="799"/>
      <c r="AA21" s="799"/>
      <c r="AB21" s="799"/>
      <c r="AC21" s="799"/>
      <c r="AD21" s="799"/>
      <c r="AE21" s="799"/>
      <c r="AF21" s="799"/>
      <c r="AG21" s="799"/>
      <c r="AH21" s="799"/>
      <c r="AI21" s="193"/>
    </row>
    <row r="22" spans="1:35" ht="15" customHeight="1">
      <c r="A22" s="799"/>
      <c r="B22" s="799"/>
      <c r="C22" s="799"/>
      <c r="D22" s="799"/>
      <c r="E22" s="799"/>
      <c r="F22" s="799"/>
      <c r="G22" s="799"/>
      <c r="H22" s="799"/>
      <c r="I22" s="799"/>
      <c r="J22" s="799"/>
      <c r="K22" s="799"/>
      <c r="L22" s="799"/>
      <c r="M22" s="799"/>
      <c r="N22" s="799"/>
      <c r="O22" s="799"/>
      <c r="P22" s="799"/>
      <c r="Q22" s="799"/>
      <c r="R22" s="799"/>
      <c r="S22" s="799"/>
      <c r="T22" s="799"/>
      <c r="U22" s="799"/>
      <c r="V22" s="799"/>
      <c r="W22" s="799"/>
      <c r="X22" s="799"/>
      <c r="Y22" s="799"/>
      <c r="Z22" s="799"/>
      <c r="AA22" s="799"/>
      <c r="AB22" s="799"/>
      <c r="AC22" s="799"/>
      <c r="AD22" s="799"/>
      <c r="AE22" s="799"/>
      <c r="AF22" s="799"/>
      <c r="AG22" s="799"/>
      <c r="AH22" s="799"/>
      <c r="AI22" s="193"/>
    </row>
    <row r="23" spans="1:35" ht="6.75" customHeight="1">
      <c r="A23" s="261"/>
      <c r="B23" s="261"/>
      <c r="C23" s="261"/>
      <c r="D23" s="261"/>
      <c r="E23" s="261"/>
      <c r="F23" s="261"/>
      <c r="G23" s="261"/>
      <c r="H23" s="261"/>
      <c r="I23" s="261"/>
      <c r="J23" s="261"/>
      <c r="K23" s="261"/>
      <c r="L23" s="261"/>
      <c r="M23" s="261"/>
      <c r="N23" s="261"/>
      <c r="O23" s="261"/>
      <c r="P23" s="261"/>
      <c r="Q23" s="261"/>
      <c r="R23" s="261"/>
      <c r="S23" s="261"/>
      <c r="T23" s="261"/>
      <c r="U23" s="261"/>
      <c r="V23" s="261"/>
      <c r="W23" s="261"/>
      <c r="X23" s="261"/>
      <c r="Y23" s="261"/>
      <c r="Z23" s="261"/>
      <c r="AA23" s="261"/>
      <c r="AB23" s="261"/>
      <c r="AC23" s="261"/>
      <c r="AD23" s="261"/>
      <c r="AE23" s="261"/>
      <c r="AF23" s="261"/>
      <c r="AG23" s="261"/>
      <c r="AH23" s="261"/>
      <c r="AI23" s="193"/>
    </row>
    <row r="24" spans="1:35" ht="15" customHeight="1">
      <c r="A24" s="800" t="s">
        <v>655</v>
      </c>
      <c r="B24" s="800"/>
      <c r="C24" s="800"/>
      <c r="D24" s="800"/>
      <c r="E24" s="800"/>
      <c r="F24" s="800"/>
      <c r="G24" s="800"/>
      <c r="H24" s="800"/>
      <c r="I24" s="800"/>
      <c r="J24" s="800"/>
      <c r="K24" s="800"/>
      <c r="L24" s="800"/>
      <c r="M24" s="800"/>
      <c r="N24" s="800"/>
      <c r="O24" s="800"/>
      <c r="P24" s="800"/>
      <c r="Q24" s="800"/>
      <c r="R24" s="800"/>
      <c r="S24" s="800"/>
      <c r="T24" s="800"/>
      <c r="U24" s="800"/>
      <c r="V24" s="800"/>
      <c r="W24" s="800"/>
      <c r="X24" s="800"/>
      <c r="Y24" s="800"/>
      <c r="Z24" s="800"/>
      <c r="AA24" s="800"/>
      <c r="AB24" s="800"/>
      <c r="AC24" s="800"/>
      <c r="AD24" s="800"/>
      <c r="AE24" s="800"/>
      <c r="AF24" s="800"/>
      <c r="AG24" s="800"/>
      <c r="AH24" s="800"/>
      <c r="AI24" s="193"/>
    </row>
    <row r="25" spans="1:35" ht="15" customHeight="1">
      <c r="A25" s="261"/>
      <c r="B25" s="261"/>
      <c r="C25" s="261"/>
      <c r="D25" s="261"/>
      <c r="E25" s="261"/>
      <c r="F25" s="261"/>
      <c r="G25" s="261"/>
      <c r="H25" s="261"/>
      <c r="I25" s="261"/>
      <c r="J25" s="261"/>
      <c r="K25" s="261"/>
      <c r="L25" s="261"/>
      <c r="M25" s="261"/>
      <c r="N25" s="261"/>
      <c r="O25" s="261"/>
      <c r="P25" s="261"/>
      <c r="Q25" s="261"/>
      <c r="R25" s="261"/>
      <c r="S25" s="261"/>
      <c r="T25" s="261"/>
      <c r="U25" s="261"/>
      <c r="V25" s="261"/>
      <c r="W25" s="261"/>
      <c r="X25" s="261"/>
      <c r="Y25" s="261"/>
      <c r="Z25" s="261"/>
      <c r="AA25" s="261"/>
      <c r="AB25" s="261"/>
      <c r="AC25" s="261"/>
      <c r="AD25" s="261"/>
      <c r="AE25" s="261"/>
      <c r="AF25" s="261"/>
      <c r="AG25" s="261"/>
      <c r="AH25" s="261"/>
      <c r="AI25" s="193"/>
    </row>
    <row r="26" spans="1:35" ht="15" customHeight="1">
      <c r="A26" s="261" t="s">
        <v>714</v>
      </c>
      <c r="B26" s="261"/>
      <c r="C26" s="261"/>
      <c r="D26" s="261"/>
      <c r="E26" s="261"/>
      <c r="F26" s="261"/>
      <c r="G26" s="261"/>
      <c r="H26" s="261"/>
      <c r="I26" s="261"/>
      <c r="J26" s="261"/>
      <c r="K26" s="261"/>
      <c r="L26" s="261"/>
      <c r="M26" s="261"/>
      <c r="N26" s="261"/>
      <c r="O26" s="261"/>
      <c r="P26" s="261"/>
      <c r="Q26" s="261"/>
      <c r="R26" s="261"/>
      <c r="S26" s="261"/>
      <c r="T26" s="261"/>
      <c r="U26" s="261"/>
      <c r="V26" s="261"/>
      <c r="W26" s="261"/>
      <c r="X26" s="261"/>
      <c r="Y26" s="261"/>
      <c r="Z26" s="261"/>
      <c r="AA26" s="261"/>
      <c r="AB26" s="261"/>
      <c r="AC26" s="261"/>
      <c r="AD26" s="261"/>
      <c r="AE26" s="261"/>
      <c r="AF26" s="261"/>
      <c r="AG26" s="261"/>
      <c r="AH26" s="261"/>
      <c r="AI26" s="193"/>
    </row>
    <row r="27" spans="1:35" ht="6.75" customHeight="1">
      <c r="B27" s="797"/>
      <c r="C27" s="797"/>
      <c r="D27" s="797"/>
      <c r="E27" s="797"/>
      <c r="F27" s="797"/>
      <c r="G27" s="797"/>
      <c r="H27" s="202"/>
      <c r="I27" s="801"/>
      <c r="J27" s="801"/>
      <c r="K27" s="801"/>
      <c r="L27" s="801"/>
      <c r="M27" s="801"/>
      <c r="N27" s="801"/>
      <c r="O27" s="801"/>
      <c r="P27" s="801"/>
      <c r="Q27" s="801"/>
      <c r="R27" s="801"/>
      <c r="S27" s="801"/>
      <c r="T27" s="801"/>
      <c r="U27" s="200"/>
      <c r="V27" s="200"/>
      <c r="W27" s="200"/>
      <c r="X27" s="200"/>
      <c r="Y27" s="200"/>
      <c r="Z27" s="193"/>
      <c r="AA27" s="204"/>
      <c r="AB27" s="204"/>
      <c r="AC27" s="204"/>
      <c r="AD27" s="204"/>
      <c r="AE27" s="204"/>
      <c r="AF27" s="204"/>
      <c r="AI27" s="204"/>
    </row>
    <row r="28" spans="1:35" ht="15" customHeight="1">
      <c r="A28" s="193" t="s">
        <v>715</v>
      </c>
      <c r="B28" s="193"/>
      <c r="C28" s="193"/>
      <c r="D28" s="193"/>
      <c r="E28" s="193"/>
      <c r="F28" s="193"/>
      <c r="G28" s="193"/>
      <c r="H28" s="193"/>
      <c r="I28" s="193"/>
      <c r="J28" s="193"/>
      <c r="K28" s="193"/>
      <c r="L28" s="193"/>
      <c r="M28" s="193"/>
      <c r="N28" s="193"/>
      <c r="O28" s="193"/>
      <c r="P28" s="193"/>
      <c r="Q28" s="193"/>
      <c r="R28" s="193"/>
      <c r="S28" s="193"/>
      <c r="T28" s="193"/>
      <c r="U28" s="193"/>
      <c r="V28" s="193"/>
      <c r="W28" s="193"/>
      <c r="X28" s="193"/>
      <c r="Y28" s="193"/>
      <c r="Z28" s="193"/>
      <c r="AA28" s="193"/>
      <c r="AB28" s="193"/>
      <c r="AC28" s="193"/>
      <c r="AD28" s="193"/>
      <c r="AE28" s="193"/>
      <c r="AF28" s="193"/>
      <c r="AG28" s="193"/>
      <c r="AH28" s="193"/>
      <c r="AI28" s="193"/>
    </row>
    <row r="29" spans="1:35" ht="6.75" customHeight="1">
      <c r="A29" s="202"/>
      <c r="B29" s="202"/>
      <c r="C29" s="202"/>
      <c r="D29" s="202"/>
      <c r="E29" s="202"/>
      <c r="F29" s="798"/>
      <c r="G29" s="798"/>
      <c r="H29" s="798"/>
      <c r="I29" s="798"/>
      <c r="J29" s="798"/>
      <c r="K29" s="798"/>
      <c r="L29" s="798"/>
      <c r="M29" s="798"/>
      <c r="N29" s="798"/>
      <c r="O29" s="798"/>
      <c r="P29" s="798"/>
      <c r="Q29" s="202"/>
      <c r="R29" s="797"/>
      <c r="S29" s="797"/>
      <c r="T29" s="797"/>
      <c r="U29" s="797"/>
      <c r="V29" s="797"/>
      <c r="W29" s="797"/>
      <c r="X29" s="797"/>
      <c r="Y29" s="797"/>
      <c r="Z29" s="797"/>
      <c r="AA29" s="797"/>
      <c r="AB29" s="797"/>
      <c r="AC29" s="797"/>
      <c r="AD29" s="797"/>
      <c r="AE29" s="797"/>
      <c r="AF29" s="197"/>
      <c r="AG29" s="202"/>
      <c r="AH29" s="202"/>
      <c r="AI29" s="193"/>
    </row>
    <row r="30" spans="1:35" ht="15" customHeight="1">
      <c r="A30" s="803" t="s">
        <v>716</v>
      </c>
      <c r="B30" s="803"/>
      <c r="C30" s="803"/>
      <c r="D30" s="803"/>
      <c r="E30" s="803"/>
      <c r="F30" s="803"/>
      <c r="G30" s="803"/>
      <c r="H30" s="803"/>
      <c r="I30" s="803"/>
      <c r="J30" s="803"/>
      <c r="K30" s="803"/>
      <c r="L30" s="803"/>
      <c r="M30" s="803"/>
      <c r="N30" s="803"/>
      <c r="O30" s="803"/>
      <c r="P30" s="803"/>
      <c r="Q30" s="803"/>
      <c r="R30" s="803"/>
      <c r="S30" s="803"/>
      <c r="T30" s="803"/>
      <c r="U30" s="803"/>
      <c r="V30" s="803"/>
      <c r="W30" s="803"/>
      <c r="X30" s="803"/>
      <c r="Y30" s="803"/>
      <c r="Z30" s="803"/>
      <c r="AA30" s="803"/>
      <c r="AB30" s="803"/>
      <c r="AC30" s="803"/>
      <c r="AD30" s="803"/>
      <c r="AE30" s="803"/>
      <c r="AF30" s="803"/>
      <c r="AG30" s="803"/>
      <c r="AH30" s="803"/>
      <c r="AI30" s="193"/>
    </row>
    <row r="31" spans="1:35" ht="15" customHeight="1">
      <c r="A31" s="803" t="s">
        <v>717</v>
      </c>
      <c r="B31" s="803"/>
      <c r="C31" s="803"/>
      <c r="D31" s="803"/>
      <c r="E31" s="803"/>
      <c r="F31" s="803"/>
      <c r="G31" s="803"/>
      <c r="H31" s="803"/>
      <c r="I31" s="803"/>
      <c r="J31" s="803"/>
      <c r="K31" s="803"/>
      <c r="L31" s="803"/>
      <c r="M31" s="803"/>
      <c r="N31" s="803"/>
      <c r="O31" s="803"/>
      <c r="P31" s="803"/>
      <c r="Q31" s="803"/>
      <c r="R31" s="803"/>
      <c r="S31" s="803"/>
      <c r="T31" s="803"/>
      <c r="U31" s="803"/>
      <c r="V31" s="803"/>
      <c r="W31" s="803"/>
      <c r="X31" s="803"/>
      <c r="Y31" s="803"/>
      <c r="Z31" s="803"/>
      <c r="AA31" s="803"/>
      <c r="AB31" s="803"/>
      <c r="AC31" s="803"/>
      <c r="AD31" s="803"/>
      <c r="AE31" s="803"/>
      <c r="AF31" s="803"/>
      <c r="AG31" s="803"/>
      <c r="AH31" s="803"/>
      <c r="AI31" s="193"/>
    </row>
    <row r="32" spans="1:35" ht="15" customHeight="1">
      <c r="A32" s="202"/>
      <c r="B32" s="202"/>
      <c r="C32" s="202"/>
      <c r="D32" s="202"/>
      <c r="E32" s="202"/>
      <c r="F32" s="798"/>
      <c r="G32" s="798"/>
      <c r="H32" s="798"/>
      <c r="I32" s="798"/>
      <c r="J32" s="798"/>
      <c r="K32" s="798"/>
      <c r="L32" s="798"/>
      <c r="M32" s="798"/>
      <c r="N32" s="798"/>
      <c r="O32" s="798"/>
      <c r="P32" s="798"/>
      <c r="Q32" s="202"/>
      <c r="R32" s="797"/>
      <c r="S32" s="797"/>
      <c r="T32" s="797"/>
      <c r="U32" s="797"/>
      <c r="V32" s="797"/>
      <c r="W32" s="797"/>
      <c r="X32" s="797"/>
      <c r="Y32" s="797"/>
      <c r="Z32" s="797"/>
      <c r="AA32" s="797"/>
      <c r="AB32" s="797"/>
      <c r="AC32" s="797"/>
      <c r="AD32" s="797"/>
      <c r="AE32" s="797"/>
      <c r="AF32" s="197"/>
      <c r="AG32" s="202"/>
      <c r="AH32" s="202"/>
      <c r="AI32" s="193"/>
    </row>
    <row r="33" spans="1:35" ht="15" customHeight="1">
      <c r="A33" s="200" t="s">
        <v>718</v>
      </c>
      <c r="B33" s="200"/>
      <c r="C33" s="200"/>
      <c r="D33" s="200"/>
      <c r="E33" s="200"/>
      <c r="F33" s="200"/>
      <c r="G33" s="200"/>
      <c r="H33" s="200"/>
      <c r="I33" s="200"/>
      <c r="J33" s="200"/>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193"/>
    </row>
    <row r="34" spans="1:35" ht="15" customHeight="1">
      <c r="A34" s="797" t="s">
        <v>719</v>
      </c>
      <c r="B34" s="797"/>
      <c r="C34" s="797"/>
      <c r="D34" s="797"/>
      <c r="E34" s="797"/>
      <c r="F34" s="797"/>
      <c r="G34" s="797"/>
      <c r="H34" s="797"/>
      <c r="I34" s="797"/>
      <c r="J34" s="797"/>
      <c r="K34" s="797"/>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204"/>
    </row>
    <row r="35" spans="1:35" ht="15" customHeight="1">
      <c r="A35" s="202"/>
      <c r="B35" s="202"/>
      <c r="C35" s="202"/>
      <c r="D35" s="202"/>
      <c r="E35" s="202"/>
      <c r="F35" s="261"/>
      <c r="G35" s="261"/>
      <c r="H35" s="261"/>
      <c r="I35" s="261"/>
      <c r="J35" s="261"/>
      <c r="K35" s="261"/>
      <c r="L35" s="261"/>
      <c r="M35" s="261"/>
      <c r="N35" s="261"/>
      <c r="O35" s="261"/>
      <c r="P35" s="261"/>
      <c r="Q35" s="202"/>
      <c r="R35" s="261"/>
      <c r="S35" s="261"/>
      <c r="T35" s="261"/>
      <c r="U35" s="261"/>
      <c r="V35" s="261"/>
      <c r="W35" s="261"/>
      <c r="X35" s="261"/>
      <c r="Y35" s="261"/>
      <c r="Z35" s="261"/>
      <c r="AA35" s="261"/>
      <c r="AB35" s="261"/>
      <c r="AC35" s="261"/>
      <c r="AD35" s="261"/>
      <c r="AE35" s="261"/>
      <c r="AF35" s="197"/>
      <c r="AG35" s="202"/>
      <c r="AH35" s="202"/>
      <c r="AI35" s="204"/>
    </row>
    <row r="36" spans="1:35" ht="15" customHeight="1">
      <c r="A36" s="202"/>
      <c r="B36" s="202"/>
      <c r="C36" s="202"/>
      <c r="D36" s="202"/>
      <c r="E36" s="202"/>
      <c r="F36" s="261" t="s">
        <v>720</v>
      </c>
      <c r="G36" s="261"/>
      <c r="H36" s="261"/>
      <c r="I36" s="261"/>
      <c r="J36" s="261"/>
      <c r="K36" s="261"/>
      <c r="L36" s="261"/>
      <c r="M36" s="261"/>
      <c r="N36" s="261"/>
      <c r="O36" s="261"/>
      <c r="P36" s="261"/>
      <c r="Q36" s="202"/>
      <c r="R36" s="261"/>
      <c r="S36" s="261"/>
      <c r="T36" s="261"/>
      <c r="U36" s="261"/>
      <c r="V36" s="261"/>
      <c r="W36" s="261"/>
      <c r="X36" s="261"/>
      <c r="Y36" s="261"/>
      <c r="Z36" s="261"/>
      <c r="AA36" s="261"/>
      <c r="AB36" s="261"/>
      <c r="AC36" s="261"/>
      <c r="AD36" s="261"/>
      <c r="AE36" s="261"/>
      <c r="AF36" s="197"/>
      <c r="AG36" s="202"/>
      <c r="AH36" s="202"/>
      <c r="AI36" s="205"/>
    </row>
    <row r="37" spans="1:35" ht="15" customHeight="1">
      <c r="A37" s="202"/>
      <c r="B37" s="202"/>
      <c r="C37" s="202"/>
      <c r="D37" s="202"/>
      <c r="E37" s="202"/>
      <c r="F37" s="261"/>
      <c r="G37" s="261" t="s">
        <v>722</v>
      </c>
      <c r="H37" s="261"/>
      <c r="I37" s="261"/>
      <c r="J37" s="261"/>
      <c r="K37" s="261" t="s">
        <v>723</v>
      </c>
      <c r="L37" s="261"/>
      <c r="M37" s="261"/>
      <c r="N37" s="261"/>
      <c r="O37" s="261"/>
      <c r="P37" s="261"/>
      <c r="Q37" s="202"/>
      <c r="R37" s="261"/>
      <c r="S37" s="261"/>
      <c r="T37" s="261"/>
      <c r="U37" s="261"/>
      <c r="V37" s="261"/>
      <c r="W37" s="261"/>
      <c r="X37" s="261"/>
      <c r="Y37" s="261"/>
      <c r="Z37" s="261"/>
      <c r="AA37" s="261"/>
      <c r="AB37" s="261"/>
      <c r="AC37" s="261"/>
      <c r="AD37" s="261"/>
      <c r="AE37" s="261"/>
      <c r="AF37" s="197"/>
      <c r="AG37" s="202"/>
      <c r="AH37" s="202"/>
      <c r="AI37" s="193"/>
    </row>
    <row r="38" spans="1:35" ht="15" customHeight="1">
      <c r="A38" s="202"/>
      <c r="B38" s="202"/>
      <c r="C38" s="202"/>
      <c r="D38" s="202"/>
      <c r="E38" s="202"/>
      <c r="F38" s="261"/>
      <c r="G38" s="261"/>
      <c r="H38" s="261"/>
      <c r="I38" s="261"/>
      <c r="J38" s="261"/>
      <c r="K38" s="261" t="s">
        <v>721</v>
      </c>
      <c r="L38" s="261"/>
      <c r="M38" s="261"/>
      <c r="N38" s="261"/>
      <c r="O38" s="261"/>
      <c r="P38" s="261"/>
      <c r="Q38" s="202"/>
      <c r="R38" s="261"/>
      <c r="S38" s="261"/>
      <c r="T38" s="261"/>
      <c r="U38" s="261"/>
      <c r="V38" s="261"/>
      <c r="W38" s="261"/>
      <c r="X38" s="261"/>
      <c r="Y38" s="261"/>
      <c r="Z38" s="261"/>
      <c r="AA38" s="261"/>
      <c r="AB38" s="261"/>
      <c r="AC38" s="261"/>
      <c r="AD38" s="261"/>
      <c r="AE38" s="261"/>
      <c r="AF38" s="197"/>
      <c r="AG38" s="202"/>
      <c r="AH38" s="202"/>
      <c r="AI38" s="204"/>
    </row>
    <row r="39" spans="1:35" ht="15" customHeight="1">
      <c r="A39" s="202"/>
      <c r="B39" s="202"/>
      <c r="C39" s="202"/>
      <c r="D39" s="202"/>
      <c r="E39" s="202"/>
      <c r="F39" s="261"/>
      <c r="G39" s="261"/>
      <c r="H39" s="261"/>
      <c r="I39" s="261"/>
      <c r="J39" s="261"/>
      <c r="K39" s="261"/>
      <c r="L39" s="261"/>
      <c r="M39" s="261"/>
      <c r="N39" s="261"/>
      <c r="O39" s="261"/>
      <c r="P39" s="261"/>
      <c r="Q39" s="261"/>
      <c r="R39" s="261"/>
      <c r="S39" s="261"/>
      <c r="T39" s="261"/>
      <c r="U39" s="261"/>
      <c r="V39" s="261"/>
      <c r="W39" s="261"/>
      <c r="X39" s="261"/>
      <c r="Y39" s="261"/>
      <c r="Z39" s="261"/>
      <c r="AA39" s="261"/>
      <c r="AB39" s="261"/>
      <c r="AC39" s="261"/>
      <c r="AD39" s="261"/>
      <c r="AE39" s="261"/>
      <c r="AF39" s="197"/>
      <c r="AG39" s="202"/>
      <c r="AH39" s="202"/>
      <c r="AI39" s="193"/>
    </row>
    <row r="40" spans="1:35" ht="15" customHeight="1">
      <c r="A40" s="202"/>
      <c r="B40" s="202"/>
      <c r="C40" s="202"/>
      <c r="D40" s="202"/>
      <c r="E40" s="202"/>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1"/>
      <c r="AE40" s="261"/>
      <c r="AF40" s="197"/>
      <c r="AG40" s="202"/>
      <c r="AH40" s="202"/>
      <c r="AI40" s="203"/>
    </row>
    <row r="41" spans="1:35" ht="15" customHeight="1">
      <c r="A41" s="202"/>
      <c r="B41" s="202"/>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3"/>
    </row>
    <row r="42" spans="1:35" ht="15" customHeight="1">
      <c r="A42" s="202"/>
      <c r="B42" s="202"/>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row>
    <row r="43" spans="1:35" ht="15" customHeight="1">
      <c r="A43" s="202"/>
      <c r="B43" s="202"/>
      <c r="C43" s="202"/>
      <c r="D43" s="202"/>
      <c r="E43" s="202"/>
      <c r="F43" s="202"/>
      <c r="G43" s="202"/>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row>
    <row r="44" spans="1:35" ht="15" customHeight="1">
      <c r="A44" s="202"/>
      <c r="B44" s="202"/>
      <c r="C44" s="202"/>
      <c r="D44" s="202"/>
      <c r="E44" s="202"/>
      <c r="F44" s="202"/>
      <c r="G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row>
    <row r="45" spans="1:35" ht="15" customHeight="1">
      <c r="A45" s="181"/>
      <c r="B45" s="181"/>
      <c r="C45" s="181"/>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1"/>
      <c r="AB45" s="181"/>
      <c r="AC45" s="181"/>
      <c r="AD45" s="181"/>
      <c r="AE45" s="181"/>
      <c r="AF45" s="181"/>
      <c r="AG45" s="181"/>
      <c r="AH45" s="181"/>
      <c r="AI45" s="177"/>
    </row>
    <row r="46" spans="1:35" ht="15" customHeight="1">
      <c r="A46" s="181"/>
      <c r="B46" s="181"/>
      <c r="C46" s="181"/>
      <c r="D46" s="181"/>
      <c r="E46" s="181"/>
      <c r="F46" s="181"/>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1"/>
      <c r="AE46" s="181"/>
      <c r="AF46" s="181"/>
      <c r="AG46" s="181"/>
      <c r="AH46" s="181"/>
      <c r="AI46" s="177"/>
    </row>
    <row r="47" spans="1:35" ht="15" customHeight="1">
      <c r="A47" s="181"/>
      <c r="B47" s="181"/>
      <c r="C47" s="181"/>
      <c r="D47" s="181"/>
      <c r="E47" s="181"/>
      <c r="F47" s="181"/>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1"/>
      <c r="AE47" s="181"/>
      <c r="AF47" s="181"/>
      <c r="AG47" s="181"/>
      <c r="AH47" s="181"/>
      <c r="AI47" s="177"/>
    </row>
    <row r="48" spans="1:35" ht="15" customHeight="1">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row>
    <row r="49" spans="1:34" ht="15" customHeight="1">
      <c r="A49" s="177"/>
    </row>
    <row r="50" spans="1:34" ht="15" customHeight="1">
      <c r="A50" s="177"/>
    </row>
    <row r="55" spans="1:34" ht="14.25">
      <c r="AG55" s="802" t="s">
        <v>419</v>
      </c>
      <c r="AH55" s="802"/>
    </row>
  </sheetData>
  <mergeCells count="25">
    <mergeCell ref="A18:AH19"/>
    <mergeCell ref="A1:AH2"/>
    <mergeCell ref="AF3:AH3"/>
    <mergeCell ref="B10:I10"/>
    <mergeCell ref="M9:R9"/>
    <mergeCell ref="A6:C6"/>
    <mergeCell ref="A7:AE7"/>
    <mergeCell ref="AC8:AE8"/>
    <mergeCell ref="AF4:AH4"/>
    <mergeCell ref="AE13:AH13"/>
    <mergeCell ref="AE14:AH14"/>
    <mergeCell ref="A17:AH17"/>
    <mergeCell ref="A16:AH16"/>
    <mergeCell ref="AG55:AH55"/>
    <mergeCell ref="A30:AH30"/>
    <mergeCell ref="F32:P32"/>
    <mergeCell ref="R32:AE32"/>
    <mergeCell ref="A31:AH31"/>
    <mergeCell ref="A34:AH34"/>
    <mergeCell ref="R29:AE29"/>
    <mergeCell ref="F29:P29"/>
    <mergeCell ref="A21:AH22"/>
    <mergeCell ref="A24:AH24"/>
    <mergeCell ref="B27:G27"/>
    <mergeCell ref="I27:T27"/>
  </mergeCells>
  <phoneticPr fontId="2"/>
  <pageMargins left="0.42" right="0.19685039370078741" top="0.78740157480314965" bottom="0.78740157480314965" header="0.51181102362204722" footer="0.51181102362204722"/>
  <pageSetup paperSize="9" orientation="portrait" horizontalDpi="4294967295" r:id="rId1"/>
  <headerFooter alignWithMargins="0"/>
  <drawing r:id="rId2"/>
</worksheet>
</file>

<file path=xl/worksheets/sheet11.xml><?xml version="1.0" encoding="utf-8"?>
<worksheet xmlns="http://schemas.openxmlformats.org/spreadsheetml/2006/main" xmlns:r="http://schemas.openxmlformats.org/officeDocument/2006/relationships">
  <sheetPr codeName="Sheet9">
    <pageSetUpPr fitToPage="1"/>
  </sheetPr>
  <dimension ref="B1:BM167"/>
  <sheetViews>
    <sheetView showGridLines="0" topLeftCell="A45" zoomScaleNormal="100" workbookViewId="0">
      <selection activeCell="B76" sqref="B76"/>
    </sheetView>
  </sheetViews>
  <sheetFormatPr defaultRowHeight="13.5"/>
  <cols>
    <col min="1" max="1" width="3" customWidth="1"/>
    <col min="2" max="3" width="8.625" customWidth="1"/>
    <col min="4" max="5" width="4.625" customWidth="1"/>
    <col min="6" max="7" width="1.625" customWidth="1"/>
    <col min="8" max="8" width="4.625" customWidth="1"/>
    <col min="9" max="10" width="3.625" customWidth="1"/>
    <col min="11" max="11" width="2.375" customWidth="1"/>
    <col min="12" max="13" width="1.625" customWidth="1"/>
    <col min="14" max="14" width="2.625" customWidth="1"/>
    <col min="15" max="15" width="4.625" customWidth="1"/>
    <col min="16" max="16" width="3.625" customWidth="1"/>
    <col min="17" max="17" width="2" customWidth="1"/>
    <col min="18" max="18" width="6.25" bestFit="1" customWidth="1"/>
    <col min="19" max="19" width="2.125" customWidth="1"/>
    <col min="20" max="20" width="2.5" customWidth="1"/>
    <col min="21" max="21" width="4" customWidth="1"/>
    <col min="22" max="22" width="2.625" customWidth="1"/>
    <col min="23" max="23" width="3.875" customWidth="1"/>
    <col min="24" max="27" width="4.625" customWidth="1"/>
    <col min="28" max="31" width="2.625" customWidth="1"/>
    <col min="32" max="33" width="3.625" customWidth="1"/>
    <col min="34" max="37" width="2.625" customWidth="1"/>
    <col min="38" max="38" width="3.625" customWidth="1"/>
    <col min="39" max="39" width="2" customWidth="1"/>
    <col min="40" max="40" width="6.25" customWidth="1"/>
    <col min="41" max="41" width="2.125" customWidth="1"/>
    <col min="42" max="42" width="2.5" customWidth="1"/>
    <col min="43" max="43" width="4" customWidth="1"/>
    <col min="44" max="44" width="2.625" customWidth="1"/>
    <col min="45" max="45" width="3.875" customWidth="1"/>
    <col min="53" max="53" width="9.5" bestFit="1" customWidth="1"/>
  </cols>
  <sheetData>
    <row r="1" spans="2:53" ht="10.5" customHeight="1">
      <c r="B1" s="59" t="s">
        <v>157</v>
      </c>
      <c r="AG1" s="580" t="s">
        <v>235</v>
      </c>
      <c r="AH1" s="923"/>
      <c r="AI1" s="923"/>
      <c r="AJ1" s="923"/>
      <c r="AK1" s="923"/>
      <c r="AL1" s="580" t="str">
        <f>IF(外注付託依頼書!依頼番号&lt;&gt;"",外注付託依頼書!依頼番号,"")</f>
        <v>JA1600301</v>
      </c>
      <c r="AM1" s="923"/>
      <c r="AN1" s="923"/>
      <c r="AO1" s="923"/>
      <c r="AP1" s="923"/>
      <c r="AQ1" s="923"/>
      <c r="AR1" s="923"/>
    </row>
    <row r="2" spans="2:53" ht="14.25" thickBot="1">
      <c r="B2" s="873" t="s">
        <v>592</v>
      </c>
    </row>
    <row r="3" spans="2:53" ht="14.25" customHeight="1" thickBot="1">
      <c r="B3" s="874"/>
      <c r="N3" s="228" t="s">
        <v>586</v>
      </c>
      <c r="AG3" s="876" t="s">
        <v>72</v>
      </c>
      <c r="AH3" s="877"/>
      <c r="AI3" s="877"/>
      <c r="AJ3" s="877"/>
      <c r="AK3" s="878"/>
      <c r="AL3" s="881"/>
      <c r="AM3" s="882"/>
      <c r="AN3" s="882"/>
      <c r="AO3" s="883"/>
      <c r="AP3" s="883"/>
      <c r="AQ3" s="883"/>
      <c r="AR3" s="884"/>
    </row>
    <row r="4" spans="2:53" ht="18.75" customHeight="1" thickBot="1">
      <c r="B4" s="875"/>
      <c r="N4" s="228" t="s">
        <v>587</v>
      </c>
      <c r="R4" s="241" t="s">
        <v>614</v>
      </c>
      <c r="AA4" s="233"/>
      <c r="AG4" s="876" t="s">
        <v>169</v>
      </c>
      <c r="AH4" s="877"/>
      <c r="AI4" s="877"/>
      <c r="AJ4" s="877"/>
      <c r="AK4" s="878"/>
      <c r="AL4" s="885"/>
      <c r="AM4" s="886"/>
      <c r="AN4" s="886"/>
      <c r="AO4" s="887"/>
      <c r="AP4" s="887"/>
      <c r="AQ4" s="887"/>
      <c r="AR4" s="888"/>
    </row>
    <row r="5" spans="2:53" ht="14.25" customHeight="1" thickBot="1">
      <c r="N5" s="228" t="s">
        <v>588</v>
      </c>
      <c r="R5" s="48"/>
      <c r="S5" s="242" t="s">
        <v>158</v>
      </c>
      <c r="AG5" s="876" t="s">
        <v>73</v>
      </c>
      <c r="AH5" s="877"/>
      <c r="AI5" s="877"/>
      <c r="AJ5" s="877"/>
      <c r="AK5" s="878"/>
      <c r="AL5" s="885"/>
      <c r="AM5" s="886"/>
      <c r="AN5" s="886"/>
      <c r="AO5" s="887"/>
      <c r="AP5" s="887"/>
      <c r="AQ5" s="887"/>
      <c r="AR5" s="888"/>
    </row>
    <row r="6" spans="2:53" ht="21" customHeight="1">
      <c r="B6" s="239"/>
      <c r="C6" s="239"/>
      <c r="D6" s="239"/>
      <c r="E6" s="239"/>
      <c r="F6" s="239"/>
      <c r="G6" s="239"/>
      <c r="H6" s="239"/>
      <c r="I6" s="239"/>
      <c r="J6" s="239"/>
      <c r="K6" s="239"/>
      <c r="L6" s="239"/>
      <c r="M6" s="239"/>
      <c r="N6" s="228" t="s">
        <v>589</v>
      </c>
      <c r="O6" s="48"/>
      <c r="P6" s="48"/>
      <c r="Q6" s="48"/>
      <c r="T6" s="48"/>
      <c r="U6" s="48"/>
      <c r="V6" s="48"/>
      <c r="W6" s="48"/>
      <c r="X6" s="48"/>
      <c r="BA6" s="292">
        <v>90000205</v>
      </c>
    </row>
    <row r="7" spans="2:53" ht="21" customHeight="1">
      <c r="B7" s="240"/>
      <c r="C7" s="240"/>
      <c r="D7" s="240"/>
      <c r="E7" s="240"/>
      <c r="F7" s="240"/>
      <c r="G7" s="240"/>
      <c r="H7" s="240"/>
      <c r="I7" s="240"/>
      <c r="J7" s="240"/>
      <c r="K7" s="240"/>
      <c r="L7" s="240"/>
      <c r="M7" s="240"/>
      <c r="N7" s="228" t="s">
        <v>590</v>
      </c>
      <c r="Q7" s="68"/>
      <c r="S7" s="49"/>
      <c r="T7" s="49"/>
      <c r="U7" s="49"/>
      <c r="V7" s="49"/>
      <c r="W7" s="49"/>
      <c r="X7" s="49"/>
      <c r="Y7" s="49"/>
      <c r="Z7" s="49"/>
      <c r="AT7" s="64"/>
      <c r="AU7" s="64"/>
      <c r="AV7" s="64"/>
      <c r="BA7" s="292">
        <v>90000211</v>
      </c>
    </row>
    <row r="8" spans="2:53" ht="21" customHeight="1">
      <c r="B8" s="239"/>
      <c r="C8" s="240"/>
      <c r="D8" s="240"/>
      <c r="E8" s="24"/>
      <c r="F8" s="24"/>
      <c r="G8" s="240"/>
      <c r="H8" s="24"/>
      <c r="I8" s="24"/>
      <c r="J8" s="24"/>
      <c r="K8" s="240"/>
      <c r="L8" s="24"/>
      <c r="M8" s="24"/>
      <c r="N8" s="228" t="s">
        <v>591</v>
      </c>
      <c r="Q8" s="48"/>
      <c r="AE8" s="75"/>
      <c r="AF8" s="75"/>
      <c r="AG8" s="75"/>
      <c r="AH8" s="75"/>
      <c r="AI8" s="75"/>
      <c r="AJ8" s="69"/>
      <c r="AK8" s="69"/>
      <c r="AL8" s="69"/>
      <c r="AM8" s="69"/>
      <c r="AN8" s="69"/>
      <c r="AO8" s="69"/>
      <c r="AP8" s="69"/>
      <c r="AQ8" s="69"/>
      <c r="AR8" s="69"/>
      <c r="AT8" s="64"/>
      <c r="AU8" s="64"/>
      <c r="AV8" s="64"/>
      <c r="BA8" s="292">
        <v>90000212</v>
      </c>
    </row>
    <row r="9" spans="2:53">
      <c r="B9" s="24"/>
      <c r="C9" s="24"/>
      <c r="D9" s="24"/>
      <c r="E9" s="24"/>
      <c r="F9" s="24"/>
      <c r="G9" s="24"/>
      <c r="H9" s="24"/>
      <c r="I9" s="24"/>
      <c r="J9" s="24"/>
      <c r="K9" s="24"/>
      <c r="L9" s="24"/>
      <c r="M9" s="24"/>
      <c r="N9" s="24"/>
      <c r="Q9" s="1"/>
      <c r="S9" s="50"/>
      <c r="T9" s="50"/>
      <c r="U9" s="50"/>
      <c r="V9" s="50"/>
      <c r="W9" s="50"/>
      <c r="X9" s="50"/>
      <c r="Y9" s="50"/>
      <c r="Z9" s="50"/>
      <c r="AE9" s="696" t="s">
        <v>170</v>
      </c>
      <c r="AF9" s="696"/>
      <c r="AG9" s="696"/>
      <c r="AH9" s="696"/>
      <c r="AI9" s="696"/>
      <c r="AJ9" s="696"/>
      <c r="AK9" s="879" t="s">
        <v>217</v>
      </c>
      <c r="AL9" s="880"/>
      <c r="AM9" s="880"/>
      <c r="AN9" s="880"/>
      <c r="AO9" s="880"/>
      <c r="AP9" s="880"/>
      <c r="AQ9" s="880"/>
      <c r="AR9" s="880"/>
      <c r="BA9" s="292">
        <v>90000213</v>
      </c>
    </row>
    <row r="10" spans="2:53">
      <c r="B10" s="24"/>
      <c r="C10" s="24"/>
      <c r="D10" s="24"/>
      <c r="E10" s="24"/>
      <c r="F10" s="24"/>
      <c r="G10" s="24"/>
      <c r="H10" s="24"/>
      <c r="I10" s="24"/>
      <c r="J10" s="24"/>
      <c r="K10" s="24"/>
      <c r="L10" s="24"/>
      <c r="M10" s="24"/>
      <c r="N10" s="24"/>
      <c r="O10" s="1"/>
      <c r="P10" s="1"/>
      <c r="Q10" s="1"/>
      <c r="R10" s="1"/>
      <c r="S10" s="1"/>
      <c r="T10" s="1"/>
      <c r="U10" s="1"/>
      <c r="V10" s="1"/>
      <c r="W10" s="1"/>
      <c r="X10" s="1"/>
      <c r="Y10" s="1"/>
      <c r="Z10" s="1"/>
      <c r="AE10" s="697" t="s">
        <v>173</v>
      </c>
      <c r="AF10" s="697"/>
      <c r="AG10" s="697"/>
      <c r="AH10" s="697"/>
      <c r="AI10" s="697"/>
      <c r="AJ10" s="697"/>
      <c r="AK10" s="860"/>
      <c r="AL10" s="861"/>
      <c r="AM10" s="861"/>
      <c r="AN10" s="861"/>
      <c r="AO10" s="861"/>
      <c r="AP10" s="861"/>
      <c r="AQ10" s="861"/>
      <c r="AR10" s="861"/>
      <c r="BA10" s="292">
        <v>90000214</v>
      </c>
    </row>
    <row r="11" spans="2:53">
      <c r="B11" s="24"/>
      <c r="C11" s="24"/>
      <c r="D11" s="24"/>
      <c r="E11" s="24"/>
      <c r="F11" s="24"/>
      <c r="G11" s="24"/>
      <c r="H11" s="24"/>
      <c r="I11" s="24"/>
      <c r="J11" s="24"/>
      <c r="K11" s="24"/>
      <c r="L11" s="24"/>
      <c r="M11" s="24"/>
      <c r="N11" s="24"/>
      <c r="O11" s="1"/>
      <c r="P11" s="1"/>
      <c r="Q11" s="1"/>
      <c r="R11" s="1"/>
      <c r="S11" s="1"/>
      <c r="T11" s="1"/>
      <c r="U11" s="1"/>
      <c r="V11" s="1"/>
      <c r="W11" s="1"/>
      <c r="X11" s="1"/>
      <c r="Y11" s="1"/>
      <c r="Z11" s="1"/>
      <c r="AE11" s="697" t="s">
        <v>172</v>
      </c>
      <c r="AF11" s="697"/>
      <c r="AG11" s="697"/>
      <c r="AH11" s="697"/>
      <c r="AI11" s="697"/>
      <c r="AJ11" s="697"/>
      <c r="AK11" s="860"/>
      <c r="AL11" s="861"/>
      <c r="AM11" s="861"/>
      <c r="AN11" s="861"/>
      <c r="AO11" s="861"/>
      <c r="AP11" s="861"/>
      <c r="AQ11" s="861"/>
      <c r="AR11" s="861"/>
      <c r="BA11" s="292">
        <v>90000219</v>
      </c>
    </row>
    <row r="12" spans="2:53">
      <c r="B12" s="813" t="s">
        <v>75</v>
      </c>
      <c r="C12" s="813"/>
      <c r="AD12" s="51"/>
      <c r="AE12" s="697" t="s">
        <v>171</v>
      </c>
      <c r="AF12" s="697"/>
      <c r="AG12" s="697"/>
      <c r="AH12" s="697"/>
      <c r="AI12" s="697"/>
      <c r="AJ12" s="697"/>
      <c r="AK12" s="860"/>
      <c r="AL12" s="861"/>
      <c r="AM12" s="861"/>
      <c r="AN12" s="861"/>
      <c r="AO12" s="861"/>
      <c r="AP12" s="861"/>
      <c r="AQ12" s="861"/>
      <c r="AR12" s="861"/>
      <c r="BA12" s="292">
        <v>90000265</v>
      </c>
    </row>
    <row r="13" spans="2:53" ht="3" customHeight="1">
      <c r="B13" s="813"/>
      <c r="C13" s="813"/>
      <c r="BA13" s="292">
        <v>90000271</v>
      </c>
    </row>
    <row r="14" spans="2:53" ht="49.5" customHeight="1">
      <c r="B14" s="1"/>
      <c r="C14" s="1"/>
      <c r="D14" s="867"/>
      <c r="E14" s="867"/>
      <c r="F14" s="867"/>
      <c r="G14" s="867"/>
      <c r="H14" s="24"/>
      <c r="I14" s="24"/>
      <c r="J14" s="24"/>
      <c r="K14" s="1"/>
      <c r="L14" s="1"/>
      <c r="M14" s="1"/>
      <c r="N14" s="1"/>
      <c r="O14" s="1"/>
      <c r="P14" s="1"/>
      <c r="Q14" s="1"/>
      <c r="R14" s="1"/>
      <c r="S14" s="1"/>
      <c r="T14" s="1"/>
      <c r="U14" s="1"/>
      <c r="V14" s="1"/>
      <c r="W14" s="1"/>
      <c r="X14" s="1"/>
      <c r="AD14" s="24"/>
      <c r="AE14" s="813"/>
      <c r="AF14" s="813"/>
      <c r="AG14" s="813"/>
      <c r="AH14" s="813"/>
      <c r="AI14" s="24"/>
      <c r="AJ14" s="24"/>
      <c r="AK14" s="24"/>
      <c r="AL14" s="24"/>
      <c r="AM14" s="867"/>
      <c r="AN14" s="867"/>
      <c r="AO14" s="867"/>
      <c r="AP14" s="867"/>
      <c r="AQ14" s="867"/>
      <c r="AR14" s="867"/>
      <c r="BA14" s="292">
        <v>90000272</v>
      </c>
    </row>
    <row r="15" spans="2:53" ht="6" customHeight="1">
      <c r="BA15" s="292">
        <v>90000274</v>
      </c>
    </row>
    <row r="16" spans="2:53">
      <c r="B16" t="s">
        <v>159</v>
      </c>
      <c r="BA16" s="292">
        <v>90000275</v>
      </c>
    </row>
    <row r="17" spans="2:65" ht="6" customHeight="1">
      <c r="BA17" s="292">
        <v>90000276</v>
      </c>
    </row>
    <row r="18" spans="2:65" ht="20.100000000000001" customHeight="1">
      <c r="B18" t="s">
        <v>713</v>
      </c>
      <c r="D18" s="864"/>
      <c r="E18" s="890"/>
      <c r="F18" s="890"/>
      <c r="G18" s="890"/>
      <c r="H18" s="890"/>
      <c r="I18" s="890"/>
      <c r="J18" s="890"/>
      <c r="K18" s="890"/>
      <c r="L18" s="890"/>
      <c r="M18" s="890"/>
      <c r="N18" s="890"/>
      <c r="O18" s="890"/>
      <c r="P18" s="890"/>
      <c r="Q18" s="890"/>
      <c r="R18" s="890"/>
      <c r="S18" s="891"/>
      <c r="BA18" s="292">
        <v>90000277</v>
      </c>
    </row>
    <row r="19" spans="2:65" ht="6" customHeight="1">
      <c r="BA19" s="402">
        <v>90000278</v>
      </c>
    </row>
    <row r="20" spans="2:65" ht="20.100000000000001" customHeight="1">
      <c r="B20" t="s">
        <v>160</v>
      </c>
      <c r="D20" s="864"/>
      <c r="E20" s="865"/>
      <c r="F20" s="865"/>
      <c r="G20" s="865"/>
      <c r="H20" s="865"/>
      <c r="I20" s="865"/>
      <c r="J20" s="865"/>
      <c r="K20" s="865"/>
      <c r="L20" s="865"/>
      <c r="M20" s="865"/>
      <c r="N20" s="865"/>
      <c r="O20" s="865"/>
      <c r="P20" s="865"/>
      <c r="Q20" s="865"/>
      <c r="R20" s="865"/>
      <c r="S20" s="865"/>
      <c r="T20" s="865"/>
      <c r="U20" s="865"/>
      <c r="V20" s="865"/>
      <c r="W20" s="865"/>
      <c r="X20" s="865"/>
      <c r="Y20" s="865"/>
      <c r="Z20" s="865"/>
      <c r="AA20" s="865"/>
      <c r="AB20" s="865"/>
      <c r="AC20" s="865"/>
      <c r="AD20" s="865"/>
      <c r="AE20" s="865"/>
      <c r="AF20" s="865"/>
      <c r="AG20" s="865"/>
      <c r="AH20" s="865"/>
      <c r="AI20" s="865"/>
      <c r="AJ20" s="865"/>
      <c r="AK20" s="865"/>
      <c r="AL20" s="865"/>
      <c r="AM20" s="865"/>
      <c r="AN20" s="865"/>
      <c r="AO20" s="865"/>
      <c r="AP20" s="865"/>
      <c r="AQ20" s="866"/>
    </row>
    <row r="21" spans="2:65" ht="6" customHeight="1"/>
    <row r="22" spans="2:65" ht="20.100000000000001" customHeight="1">
      <c r="B22" t="s">
        <v>145</v>
      </c>
      <c r="D22" s="864"/>
      <c r="E22" s="865"/>
      <c r="F22" s="865"/>
      <c r="G22" s="865"/>
      <c r="H22" s="865"/>
      <c r="I22" s="865"/>
      <c r="J22" s="865"/>
      <c r="K22" s="865"/>
      <c r="L22" s="865"/>
      <c r="M22" s="865"/>
      <c r="N22" s="865"/>
      <c r="O22" s="865"/>
      <c r="P22" s="865"/>
      <c r="Q22" s="865"/>
      <c r="R22" s="865"/>
      <c r="S22" s="865"/>
      <c r="T22" s="865"/>
      <c r="U22" s="865"/>
      <c r="V22" s="865"/>
      <c r="W22" s="865"/>
      <c r="X22" s="865"/>
      <c r="Y22" s="865"/>
      <c r="Z22" s="865"/>
      <c r="AA22" s="865"/>
      <c r="AB22" s="865"/>
      <c r="AC22" s="865"/>
      <c r="AD22" s="865"/>
      <c r="AE22" s="865"/>
      <c r="AF22" s="865"/>
      <c r="AG22" s="865"/>
      <c r="AH22" s="865"/>
      <c r="AI22" s="865"/>
      <c r="AJ22" s="865"/>
      <c r="AK22" s="865"/>
      <c r="AL22" s="865"/>
      <c r="AM22" s="865"/>
      <c r="AN22" s="865"/>
      <c r="AO22" s="865"/>
      <c r="AP22" s="865"/>
      <c r="AQ22" s="866"/>
    </row>
    <row r="23" spans="2:65" ht="6" customHeight="1"/>
    <row r="24" spans="2:65" ht="20.100000000000001" customHeight="1">
      <c r="B24" t="s">
        <v>82</v>
      </c>
      <c r="D24" s="864"/>
      <c r="E24" s="865"/>
      <c r="F24" s="865"/>
      <c r="G24" s="865"/>
      <c r="H24" s="865"/>
      <c r="I24" s="865"/>
      <c r="J24" s="865"/>
      <c r="K24" s="865"/>
      <c r="L24" s="865"/>
      <c r="M24" s="865"/>
      <c r="N24" s="866"/>
      <c r="BB24" s="97" t="s">
        <v>32</v>
      </c>
      <c r="BC24" s="97" t="s">
        <v>33</v>
      </c>
      <c r="BD24" s="97" t="s">
        <v>42</v>
      </c>
      <c r="BE24" s="97" t="s">
        <v>43</v>
      </c>
      <c r="BF24" s="97" t="s">
        <v>44</v>
      </c>
      <c r="BG24" s="97" t="s">
        <v>49</v>
      </c>
      <c r="BH24" s="97" t="s">
        <v>50</v>
      </c>
      <c r="BI24" s="97" t="s">
        <v>51</v>
      </c>
      <c r="BJ24" s="97" t="s">
        <v>56</v>
      </c>
      <c r="BK24" s="97" t="s">
        <v>128</v>
      </c>
      <c r="BL24" s="97" t="s">
        <v>60</v>
      </c>
      <c r="BM24" s="97" t="s">
        <v>59</v>
      </c>
    </row>
    <row r="25" spans="2:65" ht="6" customHeight="1">
      <c r="BB25" s="97" t="s">
        <v>29</v>
      </c>
      <c r="BC25" s="97" t="s">
        <v>36</v>
      </c>
      <c r="BD25" s="97" t="s">
        <v>38</v>
      </c>
      <c r="BE25" s="97" t="s">
        <v>45</v>
      </c>
      <c r="BF25" s="97" t="s">
        <v>47</v>
      </c>
      <c r="BG25" s="97" t="s">
        <v>38</v>
      </c>
      <c r="BH25" s="97" t="s">
        <v>45</v>
      </c>
      <c r="BI25" s="97" t="s">
        <v>47</v>
      </c>
      <c r="BJ25" s="97" t="s">
        <v>57</v>
      </c>
      <c r="BK25" s="97" t="s">
        <v>646</v>
      </c>
      <c r="BL25" s="97" t="s">
        <v>61</v>
      </c>
      <c r="BM25" s="97" t="s">
        <v>211</v>
      </c>
    </row>
    <row r="26" spans="2:65" ht="20.100000000000001" customHeight="1">
      <c r="B26" t="s">
        <v>95</v>
      </c>
      <c r="D26" s="864"/>
      <c r="E26" s="865"/>
      <c r="F26" s="865"/>
      <c r="G26" s="865"/>
      <c r="H26" s="865"/>
      <c r="I26" s="865"/>
      <c r="J26" s="865"/>
      <c r="K26" s="865"/>
      <c r="L26" s="865"/>
      <c r="M26" s="865"/>
      <c r="N26" s="865"/>
      <c r="O26" s="865"/>
      <c r="P26" s="865"/>
      <c r="Q26" s="865"/>
      <c r="R26" s="865"/>
      <c r="S26" s="865"/>
      <c r="T26" s="865"/>
      <c r="U26" s="865"/>
      <c r="V26" s="865"/>
      <c r="W26" s="865"/>
      <c r="X26" s="865"/>
      <c r="Y26" s="865"/>
      <c r="Z26" s="865"/>
      <c r="AA26" s="865"/>
      <c r="AB26" s="865"/>
      <c r="AC26" s="865"/>
      <c r="AD26" s="865"/>
      <c r="AE26" s="865"/>
      <c r="AF26" s="865"/>
      <c r="AG26" s="865"/>
      <c r="AH26" s="865"/>
      <c r="AI26" s="865"/>
      <c r="AJ26" s="865"/>
      <c r="AK26" s="865"/>
      <c r="AL26" s="865"/>
      <c r="AM26" s="865"/>
      <c r="AN26" s="865"/>
      <c r="AO26" s="865"/>
      <c r="AP26" s="865"/>
      <c r="AQ26" s="866"/>
      <c r="BB26" s="97" t="s">
        <v>30</v>
      </c>
      <c r="BC26" s="97" t="s">
        <v>37</v>
      </c>
      <c r="BD26" s="97" t="s">
        <v>40</v>
      </c>
      <c r="BE26" s="97" t="s">
        <v>46</v>
      </c>
      <c r="BF26" s="97" t="s">
        <v>48</v>
      </c>
      <c r="BG26" s="97" t="s">
        <v>52</v>
      </c>
      <c r="BH26" s="97" t="s">
        <v>46</v>
      </c>
      <c r="BI26" s="97" t="s">
        <v>48</v>
      </c>
      <c r="BJ26" s="97" t="s">
        <v>130</v>
      </c>
      <c r="BK26" s="97" t="s">
        <v>647</v>
      </c>
      <c r="BL26" s="97" t="s">
        <v>62</v>
      </c>
      <c r="BM26" s="97" t="s">
        <v>212</v>
      </c>
    </row>
    <row r="27" spans="2:65" ht="6" customHeight="1">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60"/>
      <c r="BB27" s="97" t="s">
        <v>31</v>
      </c>
      <c r="BC27" s="97" t="s">
        <v>231</v>
      </c>
      <c r="BD27" s="97" t="s">
        <v>41</v>
      </c>
      <c r="BE27" s="97"/>
      <c r="BF27" s="97" t="s">
        <v>155</v>
      </c>
      <c r="BG27" s="97" t="s">
        <v>53</v>
      </c>
      <c r="BH27" s="97"/>
      <c r="BI27" s="97" t="s">
        <v>155</v>
      </c>
      <c r="BJ27" s="97" t="s">
        <v>666</v>
      </c>
      <c r="BK27" s="97" t="s">
        <v>648</v>
      </c>
      <c r="BL27" s="97" t="s">
        <v>63</v>
      </c>
      <c r="BM27" s="97" t="s">
        <v>618</v>
      </c>
    </row>
    <row r="28" spans="2:65" ht="6" customHeight="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BB28" s="97" t="s">
        <v>117</v>
      </c>
      <c r="BC28" s="97" t="s">
        <v>117</v>
      </c>
      <c r="BD28" s="97" t="s">
        <v>39</v>
      </c>
      <c r="BE28" s="97"/>
      <c r="BF28" s="97"/>
      <c r="BG28" s="97" t="s">
        <v>54</v>
      </c>
      <c r="BH28" s="97"/>
      <c r="BI28" s="97"/>
      <c r="BJ28" s="97" t="s">
        <v>39</v>
      </c>
      <c r="BK28" s="97" t="s">
        <v>649</v>
      </c>
    </row>
    <row r="29" spans="2:65" ht="13.5" customHeight="1">
      <c r="B29" s="19" t="s">
        <v>674</v>
      </c>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BB29" s="79" t="s">
        <v>121</v>
      </c>
      <c r="BC29" s="79" t="s">
        <v>121</v>
      </c>
      <c r="BD29" s="97" t="s">
        <v>639</v>
      </c>
      <c r="BE29" s="97"/>
      <c r="BF29" s="97"/>
      <c r="BG29" s="97" t="s">
        <v>39</v>
      </c>
      <c r="BH29" s="97"/>
      <c r="BI29" s="97"/>
      <c r="BJ29" s="97" t="s">
        <v>58</v>
      </c>
    </row>
    <row r="30" spans="2:65" ht="13.5" customHeight="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BD30" s="97"/>
      <c r="BE30" s="97"/>
      <c r="BF30" s="97"/>
      <c r="BG30" s="97" t="s">
        <v>639</v>
      </c>
      <c r="BH30" s="97"/>
      <c r="BI30" s="97"/>
    </row>
    <row r="31" spans="2:65" ht="13.5" customHeight="1">
      <c r="B31" s="295">
        <f>勘定Code1</f>
        <v>90000205</v>
      </c>
      <c r="C31" s="235" t="s">
        <v>88</v>
      </c>
      <c r="D31" s="1"/>
      <c r="E31" s="1"/>
      <c r="F31" s="1"/>
      <c r="G31" s="812" t="s">
        <v>254</v>
      </c>
      <c r="H31" s="812"/>
      <c r="I31" s="812"/>
      <c r="J31" s="812"/>
      <c r="K31" s="812"/>
      <c r="L31" s="812"/>
      <c r="M31" s="812"/>
      <c r="N31" s="812"/>
      <c r="O31" s="812"/>
      <c r="P31" s="812"/>
      <c r="Q31" s="812"/>
      <c r="R31" s="812"/>
      <c r="S31" s="812"/>
      <c r="T31" s="812"/>
      <c r="U31" s="812"/>
      <c r="V31" s="812"/>
      <c r="W31" s="812"/>
      <c r="X31" s="812"/>
      <c r="Y31" s="812"/>
      <c r="Z31" s="812"/>
      <c r="AA31" s="812"/>
      <c r="AB31" s="812"/>
      <c r="AC31" s="812"/>
      <c r="AD31" s="812"/>
      <c r="AE31" s="812"/>
      <c r="AF31" s="812"/>
      <c r="AG31" s="812"/>
      <c r="AH31" s="812"/>
      <c r="AI31" s="812"/>
      <c r="AJ31" s="812"/>
      <c r="AK31" s="812"/>
      <c r="AL31" s="812"/>
      <c r="AM31" s="1"/>
    </row>
    <row r="32" spans="2:65" ht="14.25">
      <c r="D32" s="293" t="s">
        <v>675</v>
      </c>
      <c r="H32" s="826" t="s">
        <v>178</v>
      </c>
      <c r="I32" s="826"/>
      <c r="J32" s="826"/>
      <c r="K32" s="1"/>
      <c r="L32" s="1"/>
      <c r="M32" s="1"/>
      <c r="O32" s="892">
        <f>単価1*Rate1</f>
        <v>0</v>
      </c>
      <c r="P32" s="892"/>
      <c r="Q32" s="892"/>
      <c r="R32" s="892"/>
      <c r="S32" s="892"/>
      <c r="T32" s="892"/>
      <c r="U32" s="892"/>
      <c r="V32" s="19"/>
      <c r="W32" s="293" t="s">
        <v>677</v>
      </c>
      <c r="Z32" s="331"/>
      <c r="AB32" s="286" t="s">
        <v>90</v>
      </c>
      <c r="AC32" s="296" t="s">
        <v>678</v>
      </c>
      <c r="AD32" s="896">
        <f>+ROUNDDOWN(O32*X33,0)</f>
        <v>0</v>
      </c>
      <c r="AE32" s="896"/>
      <c r="AF32" s="896"/>
      <c r="AG32" s="896"/>
      <c r="AH32" s="896"/>
      <c r="AI32" s="896"/>
      <c r="AJ32" s="896"/>
      <c r="AK32" s="896"/>
      <c r="AL32" s="896"/>
      <c r="AM32" s="813"/>
      <c r="AN32" s="809"/>
    </row>
    <row r="33" spans="2:43" ht="14.25">
      <c r="B33" s="235"/>
      <c r="D33" s="293" t="s">
        <v>676</v>
      </c>
      <c r="H33" s="897"/>
      <c r="I33" s="897"/>
      <c r="J33" s="897"/>
      <c r="K33" s="332"/>
      <c r="L33" s="294"/>
      <c r="M33" s="294"/>
      <c r="N33" s="16"/>
      <c r="O33" s="889">
        <f>[0]!単価1</f>
        <v>900000</v>
      </c>
      <c r="P33" s="889"/>
      <c r="Q33" s="889"/>
      <c r="R33" s="889"/>
      <c r="S33" s="889"/>
      <c r="T33" s="889"/>
      <c r="U33" s="889"/>
      <c r="W33" s="302" t="s">
        <v>677</v>
      </c>
      <c r="X33" s="893"/>
      <c r="Y33" s="894"/>
      <c r="Z33" s="331"/>
      <c r="AB33" s="286" t="s">
        <v>90</v>
      </c>
      <c r="AC33" s="16"/>
      <c r="AD33" s="895">
        <f>+O33*X33</f>
        <v>0</v>
      </c>
      <c r="AE33" s="895"/>
      <c r="AF33" s="895"/>
      <c r="AG33" s="895"/>
      <c r="AH33" s="895"/>
      <c r="AI33" s="895"/>
      <c r="AJ33" s="895"/>
      <c r="AK33" s="895"/>
      <c r="AL33" s="895"/>
    </row>
    <row r="34" spans="2:43" ht="14.25">
      <c r="D34" s="350"/>
      <c r="E34" s="868" t="s">
        <v>98</v>
      </c>
      <c r="F34" s="868"/>
      <c r="G34" s="868"/>
      <c r="H34" s="869"/>
      <c r="I34" s="869"/>
      <c r="J34" s="869"/>
      <c r="K34" s="869"/>
      <c r="L34" s="351"/>
      <c r="M34" s="352"/>
      <c r="N34" s="353"/>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50"/>
      <c r="AL34" s="350"/>
      <c r="AM34" s="350"/>
      <c r="AN34" s="350"/>
      <c r="AO34" s="350"/>
      <c r="AP34" s="350"/>
      <c r="AQ34" s="350"/>
    </row>
    <row r="35" spans="2:43" ht="6" customHeight="1">
      <c r="N35" s="16"/>
      <c r="AA35" s="1"/>
      <c r="AB35" s="61"/>
      <c r="AC35" s="16"/>
      <c r="AD35" s="61"/>
      <c r="AF35" s="1"/>
      <c r="AG35" s="1"/>
      <c r="AK35" s="61"/>
      <c r="AM35" s="61"/>
    </row>
    <row r="36" spans="2:43">
      <c r="B36" s="295">
        <f>勘定Code2</f>
        <v>90000214</v>
      </c>
      <c r="C36" s="297" t="s">
        <v>670</v>
      </c>
      <c r="E36" s="26"/>
      <c r="G36" s="298"/>
      <c r="H36" s="301" t="s">
        <v>114</v>
      </c>
      <c r="I36" s="298"/>
      <c r="J36" s="298"/>
      <c r="K36" s="298"/>
      <c r="L36" s="298"/>
      <c r="M36" s="298"/>
      <c r="N36" s="64"/>
      <c r="O36" s="812"/>
      <c r="P36" s="812"/>
      <c r="Q36" s="812"/>
      <c r="R36" s="812"/>
      <c r="S36" s="812"/>
      <c r="T36" s="812"/>
      <c r="U36" s="812"/>
      <c r="V36" s="812"/>
      <c r="W36" s="812"/>
      <c r="X36" s="26"/>
      <c r="Y36" s="26"/>
      <c r="Z36" s="26"/>
      <c r="AA36" s="26"/>
      <c r="AB36" s="26"/>
      <c r="AC36" s="26"/>
      <c r="AD36" s="26"/>
      <c r="AE36" s="26"/>
      <c r="AF36" s="26"/>
      <c r="AG36" s="26"/>
      <c r="AH36" s="26"/>
      <c r="AI36" s="26"/>
      <c r="AJ36" s="26"/>
      <c r="AK36" s="26"/>
      <c r="AL36" s="26"/>
      <c r="AM36" s="26"/>
      <c r="AN36" s="26"/>
    </row>
    <row r="37" spans="2:43">
      <c r="C37" s="297"/>
      <c r="E37" s="26"/>
      <c r="G37" s="298"/>
      <c r="H37" s="301" t="s">
        <v>113</v>
      </c>
      <c r="I37" s="298"/>
      <c r="J37" s="298"/>
      <c r="K37" s="298"/>
      <c r="L37" s="298"/>
      <c r="M37" s="298"/>
      <c r="N37" s="64"/>
      <c r="O37" s="812"/>
      <c r="P37" s="812"/>
      <c r="Q37" s="812"/>
      <c r="R37" s="812"/>
      <c r="S37" s="812"/>
      <c r="T37" s="812"/>
      <c r="U37" s="812"/>
      <c r="V37" s="812"/>
      <c r="W37" s="812"/>
      <c r="X37" s="299"/>
      <c r="Y37" s="300"/>
      <c r="Z37" s="26"/>
      <c r="AA37" s="286"/>
      <c r="AB37" s="287"/>
      <c r="AC37" s="26"/>
      <c r="AD37" s="289"/>
      <c r="AE37" s="289"/>
      <c r="AF37" s="289"/>
      <c r="AG37" s="289"/>
      <c r="AH37" s="289"/>
      <c r="AI37" s="289"/>
      <c r="AJ37" s="289"/>
      <c r="AK37" s="289"/>
      <c r="AL37" s="289"/>
      <c r="AM37" s="40"/>
      <c r="AN37" s="40"/>
    </row>
    <row r="38" spans="2:43">
      <c r="C38" s="297"/>
      <c r="E38" s="26"/>
      <c r="G38" s="298"/>
      <c r="H38" s="301" t="s">
        <v>115</v>
      </c>
      <c r="I38" s="298"/>
      <c r="J38" s="298"/>
      <c r="K38" s="298"/>
      <c r="L38" s="298"/>
      <c r="M38" s="298"/>
      <c r="N38" s="64"/>
      <c r="O38" s="812"/>
      <c r="P38" s="812"/>
      <c r="Q38" s="812"/>
      <c r="R38" s="812"/>
      <c r="S38" s="812"/>
      <c r="T38" s="812"/>
      <c r="U38" s="812"/>
      <c r="V38" s="812"/>
      <c r="W38" s="812"/>
      <c r="X38" s="299"/>
      <c r="Y38" s="300"/>
      <c r="Z38" s="26"/>
      <c r="AA38" s="286"/>
      <c r="AB38" s="287"/>
      <c r="AC38" s="26"/>
      <c r="AD38" s="289"/>
      <c r="AE38" s="289"/>
      <c r="AF38" s="289"/>
      <c r="AG38" s="289"/>
      <c r="AH38" s="289"/>
      <c r="AI38" s="289"/>
      <c r="AJ38" s="289"/>
      <c r="AK38" s="289"/>
      <c r="AL38" s="289"/>
      <c r="AM38" s="40"/>
      <c r="AN38" s="40"/>
    </row>
    <row r="39" spans="2:43">
      <c r="C39" s="297"/>
      <c r="E39" s="26"/>
      <c r="G39" s="298"/>
      <c r="H39" s="301" t="s">
        <v>152</v>
      </c>
      <c r="I39" s="298"/>
      <c r="J39" s="298"/>
      <c r="K39" s="298"/>
      <c r="L39" s="298"/>
      <c r="M39" s="298"/>
      <c r="N39" s="64"/>
      <c r="O39" s="818"/>
      <c r="P39" s="818"/>
      <c r="Q39" s="818"/>
      <c r="R39" s="818"/>
      <c r="S39" s="818"/>
      <c r="T39" s="818"/>
      <c r="U39" s="818"/>
      <c r="V39" s="818"/>
      <c r="W39" s="818"/>
      <c r="X39" s="818"/>
      <c r="Y39" s="818"/>
      <c r="Z39" s="818"/>
      <c r="AA39" s="818"/>
      <c r="AB39" s="818"/>
      <c r="AC39" s="818"/>
      <c r="AD39" s="818"/>
      <c r="AE39" s="818"/>
      <c r="AF39" s="818"/>
      <c r="AG39" s="818"/>
      <c r="AH39" s="818"/>
      <c r="AI39" s="818"/>
      <c r="AJ39" s="818"/>
      <c r="AK39" s="818"/>
      <c r="AL39" s="818"/>
      <c r="AM39" s="40"/>
      <c r="AN39" s="40"/>
    </row>
    <row r="40" spans="2:43" ht="6" customHeight="1">
      <c r="C40" s="297"/>
      <c r="E40" s="26"/>
      <c r="F40" s="26"/>
      <c r="G40" s="298"/>
      <c r="K40" s="298"/>
      <c r="L40" s="298"/>
      <c r="M40" s="298"/>
      <c r="N40" s="64"/>
      <c r="O40" s="285"/>
      <c r="P40" s="285"/>
      <c r="Q40" s="285"/>
      <c r="R40" s="285"/>
      <c r="S40" s="285"/>
      <c r="T40" s="285"/>
      <c r="U40" s="285"/>
      <c r="V40" s="26"/>
      <c r="W40" s="26"/>
      <c r="X40" s="299"/>
      <c r="Y40" s="300"/>
      <c r="Z40" s="26"/>
      <c r="AA40" s="286"/>
      <c r="AB40" s="287"/>
      <c r="AC40" s="26"/>
      <c r="AD40" s="289"/>
      <c r="AE40" s="289"/>
      <c r="AF40" s="289"/>
      <c r="AG40" s="289"/>
      <c r="AH40" s="289"/>
      <c r="AI40" s="289"/>
      <c r="AJ40" s="289"/>
      <c r="AK40" s="289"/>
      <c r="AL40" s="289"/>
      <c r="AM40" s="40"/>
      <c r="AN40" s="40"/>
    </row>
    <row r="41" spans="2:43" ht="14.25">
      <c r="D41" s="293" t="s">
        <v>675</v>
      </c>
      <c r="G41" s="297"/>
      <c r="H41" s="826" t="s">
        <v>178</v>
      </c>
      <c r="I41" s="826"/>
      <c r="J41" s="826"/>
      <c r="K41" s="297"/>
      <c r="L41" s="297"/>
      <c r="M41" s="297"/>
      <c r="N41" s="16"/>
      <c r="O41" s="811">
        <f>単価2*Rate2</f>
        <v>0</v>
      </c>
      <c r="P41" s="811"/>
      <c r="Q41" s="811"/>
      <c r="R41" s="811"/>
      <c r="S41" s="811"/>
      <c r="T41" s="811"/>
      <c r="U41" s="811"/>
      <c r="V41" s="1"/>
      <c r="W41" s="293" t="s">
        <v>677</v>
      </c>
      <c r="Z41" s="390"/>
      <c r="AB41" s="286" t="s">
        <v>90</v>
      </c>
      <c r="AC41" s="296" t="s">
        <v>678</v>
      </c>
      <c r="AD41" s="814">
        <f>+ROUNDDOWN(O41*X42,0)</f>
        <v>0</v>
      </c>
      <c r="AE41" s="814"/>
      <c r="AF41" s="814"/>
      <c r="AG41" s="814"/>
      <c r="AH41" s="814"/>
      <c r="AI41" s="814"/>
      <c r="AJ41" s="814"/>
      <c r="AK41" s="814"/>
      <c r="AL41" s="814"/>
      <c r="AM41" s="24"/>
      <c r="AN41" s="18"/>
    </row>
    <row r="42" spans="2:43" ht="14.25">
      <c r="D42" s="12" t="s">
        <v>676</v>
      </c>
      <c r="E42" s="1"/>
      <c r="F42" s="1"/>
      <c r="G42" s="1"/>
      <c r="H42" s="872" t="s">
        <v>217</v>
      </c>
      <c r="I42" s="872"/>
      <c r="J42" s="872"/>
      <c r="K42" s="1"/>
      <c r="L42" s="388"/>
      <c r="M42" s="24"/>
      <c r="N42" s="51"/>
      <c r="O42" s="822">
        <f>[0]!DailyUnitPriceForeign</f>
        <v>52</v>
      </c>
      <c r="P42" s="822"/>
      <c r="Q42" s="822"/>
      <c r="R42" s="822"/>
      <c r="S42" s="822"/>
      <c r="T42" s="822"/>
      <c r="U42" s="822"/>
      <c r="V42" s="1"/>
      <c r="W42" s="302" t="s">
        <v>677</v>
      </c>
      <c r="X42" s="844"/>
      <c r="Y42" s="851"/>
      <c r="Z42" s="390"/>
      <c r="AA42" s="1"/>
      <c r="AB42" s="286" t="s">
        <v>90</v>
      </c>
      <c r="AC42" s="51"/>
      <c r="AD42" s="846">
        <f>+O42*X42</f>
        <v>0</v>
      </c>
      <c r="AE42" s="846"/>
      <c r="AF42" s="846"/>
      <c r="AG42" s="846"/>
      <c r="AH42" s="846"/>
      <c r="AI42" s="846"/>
      <c r="AJ42" s="846"/>
      <c r="AK42" s="846"/>
      <c r="AL42" s="846"/>
      <c r="AM42" s="1"/>
      <c r="AN42" s="1"/>
      <c r="AO42" s="1"/>
      <c r="AP42" s="1"/>
      <c r="AQ42" s="1"/>
    </row>
    <row r="43" spans="2:43" ht="13.5" customHeight="1">
      <c r="D43" s="350"/>
      <c r="E43" s="868" t="s">
        <v>98</v>
      </c>
      <c r="F43" s="868"/>
      <c r="G43" s="868"/>
      <c r="H43" s="845"/>
      <c r="I43" s="845"/>
      <c r="J43" s="845"/>
      <c r="K43" s="845"/>
      <c r="L43" s="350"/>
      <c r="M43" s="350"/>
      <c r="N43" s="353"/>
      <c r="O43" s="350"/>
      <c r="P43" s="350"/>
      <c r="Q43" s="350"/>
      <c r="R43" s="350"/>
      <c r="S43" s="350"/>
      <c r="T43" s="350"/>
      <c r="U43" s="350"/>
      <c r="V43" s="350"/>
      <c r="W43" s="350"/>
      <c r="X43" s="350"/>
      <c r="Y43" s="350"/>
      <c r="Z43" s="350"/>
      <c r="AA43" s="350"/>
      <c r="AB43" s="357"/>
      <c r="AC43" s="353"/>
      <c r="AD43" s="357"/>
      <c r="AE43" s="350"/>
      <c r="AF43" s="350"/>
      <c r="AG43" s="350"/>
      <c r="AH43" s="350"/>
      <c r="AI43" s="350"/>
      <c r="AJ43" s="350"/>
      <c r="AK43" s="389"/>
      <c r="AL43" s="350"/>
      <c r="AM43" s="357"/>
      <c r="AN43" s="350"/>
      <c r="AO43" s="350"/>
      <c r="AP43" s="350"/>
      <c r="AQ43" s="350"/>
    </row>
    <row r="44" spans="2:43">
      <c r="B44" s="295">
        <f>勘定Code3</f>
        <v>90000214</v>
      </c>
      <c r="C44" s="297" t="s">
        <v>671</v>
      </c>
      <c r="E44" s="26"/>
      <c r="G44" s="298"/>
      <c r="H44" s="301" t="s">
        <v>114</v>
      </c>
      <c r="I44" s="298"/>
      <c r="J44" s="298"/>
      <c r="K44" s="298"/>
      <c r="L44" s="298"/>
      <c r="M44" s="298"/>
      <c r="N44" s="64"/>
      <c r="O44" s="812"/>
      <c r="P44" s="812"/>
      <c r="Q44" s="812"/>
      <c r="R44" s="812"/>
      <c r="S44" s="812"/>
      <c r="T44" s="812"/>
      <c r="U44" s="812"/>
      <c r="V44" s="812"/>
      <c r="W44" s="812"/>
      <c r="X44" s="26"/>
      <c r="Y44" s="26"/>
      <c r="Z44" s="26"/>
      <c r="AA44" s="26"/>
      <c r="AB44" s="26"/>
      <c r="AC44" s="26"/>
      <c r="AD44" s="26"/>
      <c r="AE44" s="26"/>
      <c r="AF44" s="26"/>
      <c r="AG44" s="26"/>
      <c r="AH44" s="26"/>
      <c r="AI44" s="26"/>
      <c r="AJ44" s="26"/>
      <c r="AK44" s="26"/>
      <c r="AL44" s="26"/>
      <c r="AM44" s="26"/>
      <c r="AN44" s="26"/>
    </row>
    <row r="45" spans="2:43">
      <c r="C45" s="297"/>
      <c r="E45" s="26"/>
      <c r="G45" s="298"/>
      <c r="H45" s="301" t="s">
        <v>113</v>
      </c>
      <c r="I45" s="298"/>
      <c r="J45" s="298"/>
      <c r="K45" s="298"/>
      <c r="L45" s="298"/>
      <c r="M45" s="298"/>
      <c r="N45" s="64"/>
      <c r="O45" s="812"/>
      <c r="P45" s="812"/>
      <c r="Q45" s="812"/>
      <c r="R45" s="812"/>
      <c r="S45" s="812"/>
      <c r="T45" s="812"/>
      <c r="U45" s="812"/>
      <c r="V45" s="812"/>
      <c r="W45" s="812"/>
      <c r="X45" s="299"/>
      <c r="Y45" s="300"/>
      <c r="Z45" s="26"/>
      <c r="AA45" s="286"/>
      <c r="AB45" s="287"/>
      <c r="AC45" s="26"/>
      <c r="AD45" s="289"/>
      <c r="AE45" s="289"/>
      <c r="AF45" s="289"/>
      <c r="AG45" s="289"/>
      <c r="AH45" s="289"/>
      <c r="AI45" s="289"/>
      <c r="AJ45" s="289"/>
      <c r="AK45" s="289"/>
      <c r="AL45" s="289"/>
      <c r="AM45" s="40"/>
      <c r="AN45" s="40"/>
    </row>
    <row r="46" spans="2:43">
      <c r="C46" s="297"/>
      <c r="E46" s="26"/>
      <c r="G46" s="298"/>
      <c r="H46" s="301" t="s">
        <v>115</v>
      </c>
      <c r="I46" s="298"/>
      <c r="J46" s="298"/>
      <c r="K46" s="298"/>
      <c r="L46" s="298"/>
      <c r="M46" s="298"/>
      <c r="N46" s="64"/>
      <c r="O46" s="812"/>
      <c r="P46" s="812"/>
      <c r="Q46" s="812"/>
      <c r="R46" s="812"/>
      <c r="S46" s="812"/>
      <c r="T46" s="812"/>
      <c r="U46" s="812"/>
      <c r="V46" s="812"/>
      <c r="W46" s="812"/>
      <c r="X46" s="299"/>
      <c r="Y46" s="300"/>
      <c r="Z46" s="26"/>
      <c r="AA46" s="286"/>
      <c r="AB46" s="287"/>
      <c r="AC46" s="26"/>
      <c r="AD46" s="289"/>
      <c r="AE46" s="289"/>
      <c r="AF46" s="289"/>
      <c r="AG46" s="289"/>
      <c r="AH46" s="289"/>
      <c r="AI46" s="289"/>
      <c r="AJ46" s="289"/>
      <c r="AK46" s="289"/>
      <c r="AL46" s="289"/>
      <c r="AM46" s="40"/>
      <c r="AN46" s="40"/>
    </row>
    <row r="47" spans="2:43">
      <c r="C47" s="297"/>
      <c r="E47" s="26"/>
      <c r="G47" s="298"/>
      <c r="H47" s="301" t="s">
        <v>152</v>
      </c>
      <c r="I47" s="298"/>
      <c r="J47" s="298"/>
      <c r="K47" s="298"/>
      <c r="L47" s="298"/>
      <c r="M47" s="298"/>
      <c r="N47" s="64"/>
      <c r="O47" s="818"/>
      <c r="P47" s="818"/>
      <c r="Q47" s="818"/>
      <c r="R47" s="818"/>
      <c r="S47" s="818"/>
      <c r="T47" s="818"/>
      <c r="U47" s="818"/>
      <c r="V47" s="818"/>
      <c r="W47" s="818"/>
      <c r="X47" s="818"/>
      <c r="Y47" s="818"/>
      <c r="Z47" s="818"/>
      <c r="AA47" s="818"/>
      <c r="AB47" s="818"/>
      <c r="AC47" s="818"/>
      <c r="AD47" s="818"/>
      <c r="AE47" s="818"/>
      <c r="AF47" s="818"/>
      <c r="AG47" s="818"/>
      <c r="AH47" s="818"/>
      <c r="AI47" s="818"/>
      <c r="AJ47" s="818"/>
      <c r="AK47" s="818"/>
      <c r="AL47" s="818"/>
      <c r="AM47" s="40"/>
      <c r="AN47" s="40"/>
    </row>
    <row r="48" spans="2:43" ht="6" customHeight="1">
      <c r="C48" s="297"/>
      <c r="E48" s="26"/>
      <c r="F48" s="26"/>
      <c r="G48" s="298"/>
      <c r="K48" s="298"/>
      <c r="L48" s="298"/>
      <c r="M48" s="298"/>
      <c r="N48" s="64"/>
      <c r="O48" s="285"/>
      <c r="P48" s="285"/>
      <c r="Q48" s="285"/>
      <c r="R48" s="285"/>
      <c r="S48" s="285"/>
      <c r="T48" s="285"/>
      <c r="U48" s="285"/>
      <c r="V48" s="26"/>
      <c r="W48" s="26"/>
      <c r="X48" s="299"/>
      <c r="Y48" s="300"/>
      <c r="Z48" s="26"/>
      <c r="AA48" s="286"/>
      <c r="AB48" s="287"/>
      <c r="AC48" s="26"/>
      <c r="AD48" s="289"/>
      <c r="AE48" s="289"/>
      <c r="AF48" s="289"/>
      <c r="AG48" s="289"/>
      <c r="AH48" s="289"/>
      <c r="AI48" s="289"/>
      <c r="AJ48" s="289"/>
      <c r="AK48" s="289"/>
      <c r="AL48" s="289"/>
      <c r="AM48" s="40"/>
      <c r="AN48" s="40"/>
    </row>
    <row r="49" spans="2:43" ht="14.25">
      <c r="D49" s="293" t="s">
        <v>675</v>
      </c>
      <c r="G49" s="297"/>
      <c r="H49" s="826" t="s">
        <v>178</v>
      </c>
      <c r="I49" s="826"/>
      <c r="J49" s="826"/>
      <c r="K49" s="297"/>
      <c r="L49" s="297"/>
      <c r="M49" s="297"/>
      <c r="N49" s="16"/>
      <c r="O49" s="811">
        <f>単価3*Rate3</f>
        <v>0</v>
      </c>
      <c r="P49" s="811"/>
      <c r="Q49" s="811"/>
      <c r="R49" s="811"/>
      <c r="S49" s="811"/>
      <c r="T49" s="811"/>
      <c r="U49" s="811"/>
      <c r="W49" s="293" t="s">
        <v>677</v>
      </c>
      <c r="Z49" s="390"/>
      <c r="AB49" s="286" t="s">
        <v>90</v>
      </c>
      <c r="AC49" s="296" t="s">
        <v>678</v>
      </c>
      <c r="AD49" s="814">
        <f>+ROUNDDOWN(O49*X50,0)</f>
        <v>0</v>
      </c>
      <c r="AE49" s="814"/>
      <c r="AF49" s="814"/>
      <c r="AG49" s="814"/>
      <c r="AH49" s="814"/>
      <c r="AI49" s="814"/>
      <c r="AJ49" s="814"/>
      <c r="AK49" s="814"/>
      <c r="AL49" s="814"/>
      <c r="AM49" s="813"/>
      <c r="AN49" s="809"/>
    </row>
    <row r="50" spans="2:43" ht="14.25">
      <c r="D50" s="293" t="s">
        <v>676</v>
      </c>
      <c r="H50" s="825"/>
      <c r="I50" s="825"/>
      <c r="J50" s="825"/>
      <c r="K50" s="277"/>
      <c r="L50" s="277"/>
      <c r="M50" s="18"/>
      <c r="N50" s="16"/>
      <c r="O50" s="822">
        <f>[0]!StayUnitPriceForeign</f>
        <v>6588</v>
      </c>
      <c r="P50" s="822"/>
      <c r="Q50" s="822"/>
      <c r="R50" s="822"/>
      <c r="S50" s="822"/>
      <c r="T50" s="822"/>
      <c r="U50" s="822"/>
      <c r="W50" s="293" t="s">
        <v>677</v>
      </c>
      <c r="X50" s="844"/>
      <c r="Y50" s="851"/>
      <c r="Z50" s="390"/>
      <c r="AB50" s="286" t="s">
        <v>90</v>
      </c>
      <c r="AC50" s="16"/>
      <c r="AD50" s="846">
        <f>+O50*X50</f>
        <v>0</v>
      </c>
      <c r="AE50" s="846"/>
      <c r="AF50" s="846"/>
      <c r="AG50" s="846"/>
      <c r="AH50" s="846"/>
      <c r="AI50" s="846"/>
      <c r="AJ50" s="846"/>
      <c r="AK50" s="846"/>
      <c r="AL50" s="846"/>
    </row>
    <row r="51" spans="2:43" ht="13.5" customHeight="1">
      <c r="D51" s="350"/>
      <c r="E51" s="868" t="s">
        <v>98</v>
      </c>
      <c r="F51" s="868"/>
      <c r="G51" s="868"/>
      <c r="H51" s="845"/>
      <c r="I51" s="845"/>
      <c r="J51" s="845"/>
      <c r="K51" s="845"/>
      <c r="L51" s="352"/>
      <c r="M51" s="352"/>
      <c r="N51" s="353"/>
      <c r="O51" s="350"/>
      <c r="P51" s="350"/>
      <c r="Q51" s="350"/>
      <c r="R51" s="350"/>
      <c r="S51" s="350"/>
      <c r="T51" s="350"/>
      <c r="U51" s="350"/>
      <c r="V51" s="350"/>
      <c r="W51" s="350"/>
      <c r="X51" s="350"/>
      <c r="Y51" s="350"/>
      <c r="Z51" s="350"/>
      <c r="AA51" s="350"/>
      <c r="AB51" s="357"/>
      <c r="AC51" s="353"/>
      <c r="AD51" s="357"/>
      <c r="AE51" s="350"/>
      <c r="AF51" s="350"/>
      <c r="AG51" s="350"/>
      <c r="AH51" s="350"/>
      <c r="AI51" s="350"/>
      <c r="AJ51" s="350"/>
      <c r="AK51" s="357"/>
      <c r="AL51" s="350"/>
      <c r="AM51" s="357"/>
      <c r="AN51" s="350"/>
      <c r="AO51" s="350"/>
      <c r="AP51" s="350"/>
      <c r="AQ51" s="350"/>
    </row>
    <row r="52" spans="2:43" ht="6" customHeight="1">
      <c r="N52" s="16"/>
      <c r="AB52" s="62"/>
      <c r="AD52" s="62"/>
      <c r="AK52" s="62"/>
      <c r="AM52" s="62"/>
    </row>
    <row r="53" spans="2:43">
      <c r="B53" s="295">
        <f>勘定Code4</f>
        <v>90000214</v>
      </c>
      <c r="C53" s="297" t="s">
        <v>55</v>
      </c>
      <c r="G53" s="297"/>
      <c r="H53" s="818"/>
      <c r="I53" s="818"/>
      <c r="J53" s="818"/>
      <c r="K53" s="818"/>
      <c r="L53" s="818"/>
      <c r="M53" s="818"/>
      <c r="N53" s="818"/>
      <c r="O53" s="818"/>
      <c r="P53" s="818"/>
      <c r="Q53" s="818"/>
      <c r="R53" s="818"/>
      <c r="S53" s="818"/>
      <c r="T53" s="818"/>
      <c r="U53" s="818"/>
      <c r="V53" s="818"/>
      <c r="W53" s="818"/>
      <c r="X53" s="818"/>
      <c r="Y53" s="818"/>
      <c r="Z53" s="818"/>
      <c r="AA53" s="818"/>
      <c r="AB53" s="818"/>
      <c r="AC53" s="818"/>
      <c r="AD53" s="288"/>
      <c r="AE53" s="288"/>
      <c r="AF53" s="288"/>
      <c r="AG53" s="288"/>
      <c r="AH53" s="288"/>
      <c r="AI53" s="291"/>
      <c r="AJ53" s="291"/>
      <c r="AK53" s="291"/>
      <c r="AL53" s="291"/>
      <c r="AM53" s="815"/>
      <c r="AN53" s="815"/>
    </row>
    <row r="54" spans="2:43">
      <c r="F54" s="278"/>
      <c r="G54" s="278"/>
      <c r="H54" s="303" t="s">
        <v>672</v>
      </c>
      <c r="I54" s="16"/>
      <c r="J54" s="277"/>
      <c r="K54" s="819"/>
      <c r="L54" s="819"/>
      <c r="M54" s="819"/>
      <c r="N54" s="819"/>
      <c r="O54" s="819"/>
      <c r="P54" s="819"/>
      <c r="Q54" s="819"/>
      <c r="R54" s="819"/>
      <c r="S54" s="819"/>
      <c r="T54" s="819"/>
      <c r="U54" s="819"/>
      <c r="V54" s="819"/>
      <c r="W54" s="819"/>
      <c r="X54" s="819"/>
      <c r="Y54" s="819"/>
      <c r="Z54" s="819"/>
      <c r="AA54" s="819"/>
      <c r="AB54" s="819"/>
      <c r="AC54" s="819"/>
      <c r="AD54" s="291"/>
      <c r="AE54" s="291"/>
      <c r="AF54" s="291"/>
      <c r="AG54" s="291"/>
      <c r="AH54" s="291"/>
      <c r="AI54" s="291"/>
      <c r="AJ54" s="291"/>
      <c r="AK54" s="291"/>
      <c r="AL54" s="291"/>
      <c r="AM54" s="26"/>
      <c r="AN54" s="26"/>
    </row>
    <row r="55" spans="2:43">
      <c r="F55" s="278"/>
      <c r="G55" s="278"/>
      <c r="H55" s="303" t="s">
        <v>680</v>
      </c>
      <c r="I55" s="16"/>
      <c r="J55" s="277"/>
      <c r="K55" s="819"/>
      <c r="L55" s="819"/>
      <c r="M55" s="819"/>
      <c r="N55" s="819"/>
      <c r="O55" s="819"/>
      <c r="P55" s="819"/>
      <c r="Q55" s="819"/>
      <c r="R55" s="819"/>
      <c r="S55" s="290"/>
      <c r="T55" s="290"/>
      <c r="U55" s="290"/>
      <c r="V55" s="290"/>
      <c r="W55" s="290"/>
      <c r="X55" s="290"/>
      <c r="Y55" s="290"/>
      <c r="Z55" s="26"/>
      <c r="AA55" s="816"/>
      <c r="AB55" s="817"/>
      <c r="AC55" s="64"/>
      <c r="AD55" s="291"/>
      <c r="AE55" s="291"/>
      <c r="AF55" s="291"/>
      <c r="AG55" s="291"/>
      <c r="AH55" s="291"/>
      <c r="AI55" s="291"/>
      <c r="AJ55" s="291"/>
      <c r="AK55" s="291"/>
      <c r="AL55" s="291"/>
      <c r="AM55" s="26"/>
      <c r="AN55" s="26"/>
    </row>
    <row r="56" spans="2:43">
      <c r="F56" s="278"/>
      <c r="G56" s="278"/>
      <c r="H56" s="278"/>
      <c r="I56" s="16"/>
      <c r="J56" s="277"/>
      <c r="K56" s="303"/>
      <c r="L56" s="311" t="s">
        <v>668</v>
      </c>
      <c r="M56" s="819"/>
      <c r="N56" s="819"/>
      <c r="O56" s="819"/>
      <c r="P56" s="819"/>
      <c r="Q56" s="819"/>
      <c r="R56" s="819"/>
      <c r="S56" s="819"/>
      <c r="T56" s="819"/>
      <c r="U56" s="819"/>
      <c r="V56" s="819"/>
      <c r="W56" s="819"/>
      <c r="X56" s="819"/>
      <c r="Y56" s="819"/>
      <c r="Z56" s="819"/>
      <c r="AA56" s="819"/>
      <c r="AB56" s="819"/>
      <c r="AC56" s="819"/>
      <c r="AD56" s="290"/>
      <c r="AE56" s="290"/>
      <c r="AF56" s="290"/>
      <c r="AG56" s="290"/>
      <c r="AH56" s="290"/>
      <c r="AI56" s="291"/>
      <c r="AJ56" s="291"/>
      <c r="AK56" s="291"/>
      <c r="AL56" s="291"/>
      <c r="AM56" s="26"/>
      <c r="AN56" s="26"/>
    </row>
    <row r="57" spans="2:43">
      <c r="F57" s="278"/>
      <c r="G57" s="278"/>
      <c r="H57" s="278"/>
      <c r="I57" s="16"/>
      <c r="J57" s="277"/>
      <c r="K57" s="303"/>
      <c r="L57" s="311" t="s">
        <v>673</v>
      </c>
      <c r="M57" s="819"/>
      <c r="N57" s="819"/>
      <c r="O57" s="819"/>
      <c r="P57" s="819"/>
      <c r="Q57" s="819"/>
      <c r="R57" s="819"/>
      <c r="S57" s="819"/>
      <c r="T57" s="819"/>
      <c r="U57" s="819"/>
      <c r="V57" s="819"/>
      <c r="W57" s="819"/>
      <c r="X57" s="819"/>
      <c r="Y57" s="819"/>
      <c r="Z57" s="819"/>
      <c r="AA57" s="819"/>
      <c r="AB57" s="819"/>
      <c r="AC57" s="819"/>
      <c r="AD57" s="819"/>
      <c r="AE57" s="819"/>
      <c r="AF57" s="819"/>
      <c r="AG57" s="819"/>
      <c r="AH57" s="819"/>
      <c r="AI57" s="291" t="s">
        <v>0</v>
      </c>
      <c r="AJ57" s="291"/>
      <c r="AK57" s="291"/>
      <c r="AL57" s="291"/>
      <c r="AM57" s="26"/>
      <c r="AN57" s="26"/>
    </row>
    <row r="58" spans="2:43">
      <c r="C58" s="293"/>
      <c r="D58" s="350"/>
      <c r="E58" s="350"/>
      <c r="F58" s="350"/>
      <c r="G58" s="350"/>
      <c r="H58" s="350"/>
      <c r="I58" s="350"/>
      <c r="J58" s="350"/>
      <c r="K58" s="350" t="s">
        <v>687</v>
      </c>
      <c r="L58" s="350"/>
      <c r="M58" s="350"/>
      <c r="N58" s="350"/>
      <c r="O58" s="350"/>
      <c r="P58" s="350"/>
      <c r="Q58" s="870" t="s">
        <v>688</v>
      </c>
      <c r="R58" s="870"/>
      <c r="S58" s="871"/>
      <c r="T58" s="871"/>
      <c r="U58" s="871"/>
      <c r="V58" s="350"/>
      <c r="W58" s="870" t="s">
        <v>689</v>
      </c>
      <c r="X58" s="870"/>
      <c r="Y58" s="870"/>
      <c r="Z58" s="871"/>
      <c r="AA58" s="871"/>
      <c r="AB58" s="871"/>
      <c r="AC58" s="350"/>
      <c r="AD58" s="350"/>
      <c r="AE58" s="350"/>
      <c r="AF58" s="350"/>
      <c r="AG58" s="350"/>
      <c r="AH58" s="350"/>
      <c r="AI58" s="350"/>
      <c r="AJ58" s="350"/>
      <c r="AK58" s="350"/>
      <c r="AL58" s="350"/>
      <c r="AM58" s="350"/>
      <c r="AN58" s="350"/>
      <c r="AO58" s="350"/>
      <c r="AP58" s="350"/>
      <c r="AQ58" s="350"/>
    </row>
    <row r="59" spans="2:43" ht="6" customHeight="1">
      <c r="N59" s="16"/>
      <c r="AB59" s="62"/>
      <c r="AD59" s="62"/>
      <c r="AK59" s="62"/>
      <c r="AM59" s="62"/>
    </row>
    <row r="60" spans="2:43">
      <c r="B60" s="295">
        <f>勘定Code5</f>
        <v>90000214</v>
      </c>
      <c r="C60" s="297" t="s">
        <v>60</v>
      </c>
      <c r="G60" s="297"/>
      <c r="H60" s="818"/>
      <c r="I60" s="818"/>
      <c r="J60" s="818"/>
      <c r="K60" s="818"/>
      <c r="L60" s="818"/>
      <c r="M60" s="818"/>
      <c r="N60" s="818"/>
      <c r="O60" s="818"/>
      <c r="P60" s="818"/>
      <c r="Q60" s="818"/>
      <c r="R60" s="818"/>
      <c r="S60" s="818"/>
      <c r="T60" s="818"/>
      <c r="U60" s="818"/>
      <c r="V60" s="818"/>
      <c r="W60" s="818"/>
      <c r="X60" s="288"/>
      <c r="Y60" s="288"/>
      <c r="Z60" s="288"/>
      <c r="AA60" s="288"/>
      <c r="AB60" s="288"/>
      <c r="AC60" s="288"/>
      <c r="AD60" s="288"/>
      <c r="AE60" s="288"/>
      <c r="AF60" s="288"/>
      <c r="AG60" s="288"/>
      <c r="AH60" s="288"/>
      <c r="AI60" s="291"/>
      <c r="AJ60" s="291"/>
      <c r="AK60" s="291"/>
      <c r="AL60" s="291"/>
      <c r="AM60" s="815"/>
      <c r="AN60" s="815"/>
    </row>
    <row r="61" spans="2:43">
      <c r="D61" s="308" t="s">
        <v>685</v>
      </c>
      <c r="I61" s="18"/>
      <c r="J61" s="18"/>
      <c r="K61" s="18"/>
      <c r="L61" s="18"/>
      <c r="M61" s="18"/>
      <c r="N61" s="16"/>
      <c r="O61" s="304"/>
      <c r="P61" s="304"/>
      <c r="Q61" s="24"/>
      <c r="R61" s="24"/>
      <c r="S61" s="24"/>
      <c r="T61" s="24"/>
      <c r="U61" s="312" t="s">
        <v>681</v>
      </c>
      <c r="V61" s="1"/>
      <c r="W61" s="1"/>
      <c r="X61" s="305"/>
      <c r="Y61" s="306"/>
      <c r="Z61" s="1"/>
      <c r="AA61" s="279"/>
      <c r="AB61" s="40"/>
      <c r="AC61" s="1"/>
      <c r="AD61" s="307"/>
      <c r="AE61" s="307"/>
      <c r="AF61" s="307"/>
      <c r="AG61" s="307"/>
      <c r="AH61" s="307"/>
      <c r="AI61" s="307"/>
      <c r="AJ61" s="307"/>
      <c r="AK61" s="307"/>
      <c r="AL61" s="307"/>
      <c r="AM61" s="24"/>
      <c r="AN61" s="18"/>
    </row>
    <row r="62" spans="2:43" ht="6" customHeight="1">
      <c r="D62" s="350"/>
      <c r="E62" s="350"/>
      <c r="F62" s="350"/>
      <c r="G62" s="350"/>
      <c r="H62" s="350"/>
      <c r="I62" s="352"/>
      <c r="J62" s="352"/>
      <c r="K62" s="352"/>
      <c r="L62" s="352"/>
      <c r="M62" s="352"/>
      <c r="N62" s="353"/>
      <c r="O62" s="350"/>
      <c r="P62" s="350"/>
      <c r="Q62" s="350"/>
      <c r="R62" s="350"/>
      <c r="S62" s="350"/>
      <c r="T62" s="350"/>
      <c r="U62" s="350"/>
      <c r="V62" s="350"/>
      <c r="W62" s="350"/>
      <c r="X62" s="350"/>
      <c r="Y62" s="350"/>
      <c r="Z62" s="350"/>
      <c r="AA62" s="350"/>
      <c r="AB62" s="357"/>
      <c r="AC62" s="353"/>
      <c r="AD62" s="357"/>
      <c r="AE62" s="350"/>
      <c r="AF62" s="350"/>
      <c r="AG62" s="350"/>
      <c r="AH62" s="350"/>
      <c r="AI62" s="350"/>
      <c r="AJ62" s="350"/>
      <c r="AK62" s="357"/>
      <c r="AL62" s="350"/>
      <c r="AM62" s="357"/>
      <c r="AN62" s="350"/>
      <c r="AO62" s="350"/>
      <c r="AP62" s="350"/>
      <c r="AQ62" s="350"/>
    </row>
    <row r="63" spans="2:43">
      <c r="C63" s="297" t="s">
        <v>147</v>
      </c>
      <c r="G63" s="297"/>
      <c r="H63" s="297"/>
      <c r="I63" s="297"/>
      <c r="J63" s="297"/>
      <c r="K63" s="297"/>
      <c r="L63" s="297"/>
      <c r="M63" s="297"/>
      <c r="N63" s="16"/>
      <c r="O63" s="24"/>
      <c r="P63" s="24"/>
      <c r="Q63" s="24"/>
      <c r="R63" s="24"/>
      <c r="S63" s="24"/>
      <c r="T63" s="24"/>
      <c r="U63" s="24"/>
      <c r="AA63" s="279"/>
      <c r="AB63" s="280"/>
      <c r="AC63" s="16"/>
      <c r="AD63" s="307"/>
      <c r="AE63" s="307"/>
      <c r="AF63" s="307"/>
      <c r="AG63" s="307"/>
      <c r="AH63" s="307"/>
      <c r="AI63" s="307"/>
      <c r="AJ63" s="307"/>
      <c r="AK63" s="307"/>
      <c r="AL63" s="307"/>
    </row>
    <row r="64" spans="2:43" ht="6" customHeight="1">
      <c r="N64" s="16"/>
      <c r="AA64" s="1"/>
      <c r="AB64" s="61"/>
      <c r="AC64" s="16"/>
      <c r="AD64" s="61"/>
      <c r="AF64" s="1"/>
      <c r="AG64" s="1"/>
      <c r="AK64" s="61"/>
    </row>
    <row r="65" spans="2:43">
      <c r="B65" s="295">
        <f>勘定Code6</f>
        <v>90000214</v>
      </c>
      <c r="C65" s="16" t="s">
        <v>682</v>
      </c>
      <c r="D65" s="457" t="str">
        <f>IF(外注付託依頼書!Z59&lt;&gt;"",外注付託依頼書!Z59,"")</f>
        <v/>
      </c>
      <c r="E65" s="457"/>
      <c r="F65" s="457"/>
      <c r="G65" s="457"/>
      <c r="H65" s="457"/>
      <c r="I65" s="457"/>
      <c r="J65" s="457"/>
      <c r="K65" s="278"/>
      <c r="L65" s="278"/>
      <c r="M65" s="278"/>
      <c r="N65" s="293" t="s">
        <v>686</v>
      </c>
      <c r="R65" s="824" t="s">
        <v>45</v>
      </c>
      <c r="S65" s="824"/>
      <c r="T65" s="824"/>
      <c r="U65" s="824"/>
      <c r="V65" s="824"/>
      <c r="AB65" s="824">
        <f>外注付託依頼書!AF59</f>
        <v>0</v>
      </c>
      <c r="AC65" s="824"/>
      <c r="AD65" s="824"/>
      <c r="AE65" s="824"/>
      <c r="AF65" s="824"/>
      <c r="AG65" s="824"/>
      <c r="AH65" s="824"/>
      <c r="AI65" s="824"/>
      <c r="AJ65" s="824"/>
      <c r="AK65" s="824"/>
      <c r="AL65" s="824"/>
      <c r="AM65" s="813"/>
      <c r="AN65" s="809"/>
    </row>
    <row r="66" spans="2:43" ht="14.25">
      <c r="D66" s="293" t="s">
        <v>675</v>
      </c>
      <c r="G66" s="297"/>
      <c r="H66" s="826" t="s">
        <v>178</v>
      </c>
      <c r="I66" s="826"/>
      <c r="J66" s="826"/>
      <c r="M66" s="18"/>
      <c r="N66" s="16"/>
      <c r="O66" s="811">
        <f>その他1単価*Rate4</f>
        <v>0</v>
      </c>
      <c r="P66" s="811"/>
      <c r="Q66" s="811"/>
      <c r="R66" s="811"/>
      <c r="S66" s="811"/>
      <c r="T66" s="811"/>
      <c r="U66" s="811"/>
      <c r="W66" s="293" t="s">
        <v>677</v>
      </c>
      <c r="Z66" s="390"/>
      <c r="AB66" s="286" t="s">
        <v>90</v>
      </c>
      <c r="AC66" s="296" t="s">
        <v>678</v>
      </c>
      <c r="AD66" s="814">
        <f>+ROUNDDOWN(O66*X67,0)</f>
        <v>0</v>
      </c>
      <c r="AE66" s="814"/>
      <c r="AF66" s="814"/>
      <c r="AG66" s="814"/>
      <c r="AH66" s="814"/>
      <c r="AI66" s="814"/>
      <c r="AJ66" s="814"/>
      <c r="AK66" s="814"/>
      <c r="AL66" s="814"/>
    </row>
    <row r="67" spans="2:43" ht="13.5" customHeight="1">
      <c r="D67" s="293" t="s">
        <v>676</v>
      </c>
      <c r="H67" s="825"/>
      <c r="I67" s="825"/>
      <c r="J67" s="825"/>
      <c r="N67" s="16"/>
      <c r="O67" s="822">
        <f>[0]!ETC1UnitPriceForeign</f>
        <v>0</v>
      </c>
      <c r="P67" s="822"/>
      <c r="Q67" s="822"/>
      <c r="R67" s="822"/>
      <c r="S67" s="822"/>
      <c r="T67" s="822"/>
      <c r="U67" s="822"/>
      <c r="W67" s="293" t="s">
        <v>677</v>
      </c>
      <c r="X67" s="844"/>
      <c r="Y67" s="844"/>
      <c r="Z67" s="390"/>
      <c r="AB67" s="286" t="s">
        <v>90</v>
      </c>
      <c r="AC67" s="16"/>
      <c r="AD67" s="846">
        <f>+O67*X67</f>
        <v>0</v>
      </c>
      <c r="AE67" s="846"/>
      <c r="AF67" s="846"/>
      <c r="AG67" s="846"/>
      <c r="AH67" s="846"/>
      <c r="AI67" s="846"/>
      <c r="AJ67" s="846"/>
      <c r="AK67" s="846"/>
      <c r="AL67" s="846"/>
    </row>
    <row r="68" spans="2:43" ht="14.25">
      <c r="E68" s="821" t="s">
        <v>98</v>
      </c>
      <c r="F68" s="821"/>
      <c r="G68" s="821"/>
      <c r="H68" s="820"/>
      <c r="I68" s="820"/>
      <c r="J68" s="820"/>
      <c r="N68" s="16"/>
      <c r="O68" s="823"/>
      <c r="P68" s="813"/>
      <c r="Q68" s="813"/>
      <c r="R68" s="276"/>
      <c r="S68" s="276"/>
      <c r="T68" s="276"/>
      <c r="U68" s="276"/>
      <c r="V68" s="276"/>
      <c r="W68" s="276"/>
      <c r="X68" s="276"/>
      <c r="Y68" s="276"/>
      <c r="Z68" s="276"/>
      <c r="AA68" s="276"/>
      <c r="AB68" s="276"/>
      <c r="AC68" s="276"/>
      <c r="AD68" s="276"/>
      <c r="AE68" s="276"/>
      <c r="AF68" s="276"/>
      <c r="AG68" s="276"/>
      <c r="AH68" s="276"/>
      <c r="AI68" s="276"/>
      <c r="AJ68" s="276"/>
      <c r="AK68" s="276"/>
      <c r="AL68" s="276"/>
    </row>
    <row r="69" spans="2:43" ht="6" customHeight="1">
      <c r="N69" s="16"/>
      <c r="AA69" s="1"/>
      <c r="AB69" s="61"/>
      <c r="AC69" s="16"/>
      <c r="AD69" s="61"/>
      <c r="AF69" s="1"/>
      <c r="AG69" s="1"/>
      <c r="AK69" s="61"/>
    </row>
    <row r="70" spans="2:43" ht="13.5" customHeight="1">
      <c r="C70" s="16" t="s">
        <v>683</v>
      </c>
      <c r="D70" s="457" t="str">
        <f>IF(外注付託依頼書!Z64&lt;&gt;"",外注付託依頼書!Z64,"")</f>
        <v/>
      </c>
      <c r="E70" s="457"/>
      <c r="F70" s="457"/>
      <c r="G70" s="457"/>
      <c r="H70" s="457"/>
      <c r="I70" s="457"/>
      <c r="J70" s="457"/>
      <c r="N70" s="293" t="s">
        <v>686</v>
      </c>
      <c r="R70" s="824" t="s">
        <v>45</v>
      </c>
      <c r="S70" s="824"/>
      <c r="T70" s="824"/>
      <c r="U70" s="824"/>
      <c r="V70" s="824"/>
      <c r="AA70" s="1"/>
      <c r="AB70" s="824">
        <f>外注付託依頼書!AF64</f>
        <v>0</v>
      </c>
      <c r="AC70" s="824"/>
      <c r="AD70" s="824"/>
      <c r="AE70" s="824"/>
      <c r="AF70" s="824"/>
      <c r="AG70" s="824"/>
      <c r="AH70" s="824"/>
      <c r="AI70" s="824"/>
      <c r="AJ70" s="824"/>
      <c r="AK70" s="824"/>
      <c r="AL70" s="824"/>
    </row>
    <row r="71" spans="2:43" ht="14.25">
      <c r="B71" s="295">
        <f>勘定Code7</f>
        <v>90000214</v>
      </c>
      <c r="D71" s="293" t="s">
        <v>675</v>
      </c>
      <c r="H71" s="826" t="s">
        <v>178</v>
      </c>
      <c r="I71" s="826"/>
      <c r="J71" s="826"/>
      <c r="K71" s="278"/>
      <c r="L71" s="278"/>
      <c r="M71" s="278"/>
      <c r="N71" s="16"/>
      <c r="O71" s="811">
        <f>その他2単価*Rate5</f>
        <v>0</v>
      </c>
      <c r="P71" s="811"/>
      <c r="Q71" s="811"/>
      <c r="R71" s="811"/>
      <c r="S71" s="811"/>
      <c r="T71" s="811"/>
      <c r="U71" s="811"/>
      <c r="W71" s="293" t="s">
        <v>677</v>
      </c>
      <c r="Z71" s="390"/>
      <c r="AB71" s="286" t="s">
        <v>90</v>
      </c>
      <c r="AC71" s="296" t="s">
        <v>678</v>
      </c>
      <c r="AD71" s="814">
        <f>+ROUNDDOWN(O71*X72,0)</f>
        <v>0</v>
      </c>
      <c r="AE71" s="814"/>
      <c r="AF71" s="814"/>
      <c r="AG71" s="814"/>
      <c r="AH71" s="814"/>
      <c r="AI71" s="814"/>
      <c r="AJ71" s="814"/>
      <c r="AK71" s="814"/>
      <c r="AL71" s="814"/>
      <c r="AM71" s="813"/>
      <c r="AN71" s="809"/>
    </row>
    <row r="72" spans="2:43" ht="14.25">
      <c r="D72" s="293" t="s">
        <v>676</v>
      </c>
      <c r="G72" s="278"/>
      <c r="H72" s="825" t="s">
        <v>217</v>
      </c>
      <c r="I72" s="825"/>
      <c r="J72" s="825"/>
      <c r="M72" s="18"/>
      <c r="N72" s="16"/>
      <c r="O72" s="822">
        <f>[0]!ETC2UnitPriceForeign</f>
        <v>0</v>
      </c>
      <c r="P72" s="822"/>
      <c r="Q72" s="822"/>
      <c r="R72" s="822"/>
      <c r="S72" s="822"/>
      <c r="T72" s="822"/>
      <c r="U72" s="822"/>
      <c r="W72" s="293" t="s">
        <v>677</v>
      </c>
      <c r="X72" s="844"/>
      <c r="Y72" s="851"/>
      <c r="Z72" s="390"/>
      <c r="AB72" s="286" t="s">
        <v>90</v>
      </c>
      <c r="AC72" s="16"/>
      <c r="AD72" s="846">
        <f>+O72*X72</f>
        <v>0</v>
      </c>
      <c r="AE72" s="846"/>
      <c r="AF72" s="846"/>
      <c r="AG72" s="846"/>
      <c r="AH72" s="846"/>
      <c r="AI72" s="846"/>
      <c r="AJ72" s="846"/>
      <c r="AK72" s="846"/>
      <c r="AL72" s="846"/>
    </row>
    <row r="73" spans="2:43" ht="13.5" customHeight="1">
      <c r="E73" s="821" t="s">
        <v>98</v>
      </c>
      <c r="F73" s="821"/>
      <c r="G73" s="821"/>
      <c r="H73" s="820"/>
      <c r="I73" s="820"/>
      <c r="J73" s="820"/>
      <c r="N73" s="16"/>
      <c r="AB73" s="61"/>
      <c r="AC73" s="61"/>
      <c r="AD73" s="61"/>
      <c r="AF73" s="1"/>
      <c r="AG73" s="1"/>
      <c r="AH73" s="1"/>
      <c r="AI73" s="16"/>
      <c r="AJ73" s="61"/>
      <c r="AK73" s="61"/>
    </row>
    <row r="74" spans="2:43" ht="6" customHeight="1">
      <c r="N74" s="16"/>
      <c r="AB74" s="61"/>
      <c r="AC74" s="61"/>
      <c r="AD74" s="61"/>
      <c r="AF74" s="1"/>
      <c r="AG74" s="1"/>
      <c r="AH74" s="1"/>
      <c r="AI74" s="16"/>
      <c r="AJ74" s="61"/>
      <c r="AK74" s="61"/>
    </row>
    <row r="75" spans="2:43">
      <c r="C75" s="16" t="s">
        <v>684</v>
      </c>
      <c r="D75" s="457" t="str">
        <f>IF(外注付託依頼書!Z69&lt;&gt;"",外注付託依頼書!Z69,"")</f>
        <v/>
      </c>
      <c r="E75" s="457"/>
      <c r="F75" s="457"/>
      <c r="G75" s="457"/>
      <c r="H75" s="457"/>
      <c r="I75" s="457"/>
      <c r="J75" s="457"/>
      <c r="N75" s="293" t="s">
        <v>686</v>
      </c>
      <c r="R75" s="824" t="s">
        <v>45</v>
      </c>
      <c r="S75" s="824"/>
      <c r="T75" s="824"/>
      <c r="U75" s="824"/>
      <c r="V75" s="824"/>
      <c r="W75" s="276"/>
      <c r="X75" s="276"/>
      <c r="Y75" s="276"/>
      <c r="Z75" s="276"/>
      <c r="AA75" s="276"/>
      <c r="AB75" s="824">
        <f>外注付託依頼書!AF69</f>
        <v>0</v>
      </c>
      <c r="AC75" s="824"/>
      <c r="AD75" s="824"/>
      <c r="AE75" s="824"/>
      <c r="AF75" s="824"/>
      <c r="AG75" s="824"/>
      <c r="AH75" s="824"/>
      <c r="AI75" s="824"/>
      <c r="AJ75" s="824"/>
      <c r="AK75" s="824"/>
      <c r="AL75" s="824"/>
    </row>
    <row r="76" spans="2:43" ht="14.25">
      <c r="B76" s="295">
        <f>勘定Code8</f>
        <v>90000214</v>
      </c>
      <c r="D76" s="293" t="s">
        <v>675</v>
      </c>
      <c r="H76" s="826" t="s">
        <v>178</v>
      </c>
      <c r="I76" s="826"/>
      <c r="J76" s="826"/>
      <c r="K76" s="278"/>
      <c r="L76" s="278"/>
      <c r="M76" s="278"/>
      <c r="N76" s="16"/>
      <c r="O76" s="811">
        <f>その他3単価*Rate6</f>
        <v>0</v>
      </c>
      <c r="P76" s="811"/>
      <c r="Q76" s="811"/>
      <c r="R76" s="811"/>
      <c r="S76" s="811"/>
      <c r="T76" s="811"/>
      <c r="U76" s="811"/>
      <c r="W76" s="293" t="s">
        <v>677</v>
      </c>
      <c r="Z76" s="390"/>
      <c r="AB76" s="286" t="s">
        <v>90</v>
      </c>
      <c r="AC76" s="296" t="s">
        <v>678</v>
      </c>
      <c r="AD76" s="814">
        <f>+ROUNDDOWN(O76*X77,0)</f>
        <v>0</v>
      </c>
      <c r="AE76" s="814"/>
      <c r="AF76" s="814"/>
      <c r="AG76" s="814"/>
      <c r="AH76" s="814"/>
      <c r="AI76" s="814"/>
      <c r="AJ76" s="814"/>
      <c r="AK76" s="814"/>
      <c r="AL76" s="814"/>
      <c r="AM76" s="813"/>
      <c r="AN76" s="809"/>
    </row>
    <row r="77" spans="2:43" ht="14.25">
      <c r="D77" s="293" t="s">
        <v>676</v>
      </c>
      <c r="G77" s="278"/>
      <c r="H77" s="825" t="s">
        <v>217</v>
      </c>
      <c r="I77" s="825"/>
      <c r="J77" s="825"/>
      <c r="M77" s="18"/>
      <c r="N77" s="16"/>
      <c r="O77" s="822">
        <f>[0]!ETC3UnitPriceForeign</f>
        <v>0</v>
      </c>
      <c r="P77" s="822"/>
      <c r="Q77" s="822"/>
      <c r="R77" s="822"/>
      <c r="S77" s="822"/>
      <c r="T77" s="822"/>
      <c r="U77" s="822"/>
      <c r="W77" s="293" t="s">
        <v>677</v>
      </c>
      <c r="X77" s="844"/>
      <c r="Y77" s="851"/>
      <c r="Z77" s="390"/>
      <c r="AA77" s="276"/>
      <c r="AB77" s="286" t="s">
        <v>90</v>
      </c>
      <c r="AC77" s="16"/>
      <c r="AD77" s="846">
        <f>+O77*X77</f>
        <v>0</v>
      </c>
      <c r="AE77" s="846"/>
      <c r="AF77" s="846"/>
      <c r="AG77" s="846"/>
      <c r="AH77" s="846"/>
      <c r="AI77" s="846"/>
      <c r="AJ77" s="846"/>
      <c r="AK77" s="846"/>
      <c r="AL77" s="846"/>
    </row>
    <row r="78" spans="2:43" ht="14.25">
      <c r="E78" s="821" t="s">
        <v>98</v>
      </c>
      <c r="F78" s="821"/>
      <c r="G78" s="821"/>
      <c r="H78" s="820"/>
      <c r="I78" s="820"/>
      <c r="J78" s="820"/>
      <c r="N78" s="16"/>
      <c r="V78" s="276"/>
      <c r="AD78" s="276"/>
      <c r="AE78" s="276"/>
      <c r="AF78" s="276"/>
      <c r="AG78" s="276"/>
      <c r="AH78" s="276"/>
      <c r="AI78" s="276"/>
      <c r="AJ78" s="276"/>
      <c r="AK78" s="276"/>
      <c r="AL78" s="276"/>
    </row>
    <row r="79" spans="2:43" ht="14.25" customHeight="1">
      <c r="D79" s="354"/>
      <c r="E79" s="354"/>
      <c r="F79" s="354"/>
      <c r="G79" s="354"/>
      <c r="H79" s="354"/>
      <c r="I79" s="354"/>
      <c r="J79" s="354"/>
      <c r="K79" s="354"/>
      <c r="L79" s="354"/>
      <c r="M79" s="354"/>
      <c r="N79" s="354"/>
      <c r="O79" s="354"/>
      <c r="P79" s="354"/>
      <c r="Q79" s="354"/>
      <c r="R79" s="354"/>
      <c r="S79" s="354"/>
      <c r="T79" s="354"/>
      <c r="U79" s="354"/>
      <c r="V79" s="354"/>
      <c r="W79" s="354"/>
      <c r="X79" s="354"/>
      <c r="Y79" s="354"/>
      <c r="Z79" s="354"/>
      <c r="AA79" s="355"/>
      <c r="AB79" s="356"/>
      <c r="AC79" s="356"/>
      <c r="AD79" s="356"/>
      <c r="AE79" s="354"/>
      <c r="AF79" s="354"/>
      <c r="AG79" s="354"/>
      <c r="AH79" s="354"/>
      <c r="AI79" s="355"/>
      <c r="AJ79" s="356"/>
      <c r="AK79" s="356"/>
      <c r="AL79" s="354"/>
      <c r="AM79" s="354"/>
      <c r="AN79" s="354"/>
      <c r="AO79" s="354"/>
      <c r="AP79" s="354"/>
      <c r="AQ79" s="354"/>
    </row>
    <row r="80" spans="2:43" ht="21" customHeight="1">
      <c r="T80" s="832" t="s">
        <v>679</v>
      </c>
      <c r="U80" s="832"/>
      <c r="V80" s="832"/>
      <c r="W80" s="832"/>
      <c r="X80" s="832"/>
      <c r="Y80" s="832"/>
      <c r="Z80" s="82"/>
      <c r="AA80" s="82"/>
      <c r="AB80" s="855">
        <f>SUM(AD32,IF(O36="支給しない",0,IF(O36="J'sNAVIにて精算",0,AD41)),IF(OR(O44="支給しないが宿舎提供",O44="支給しない"),0,IF(O44="J'sNAVIにて精算",0,AD49)),IF(OR(D65="使用目的を入力",D65=""),0,AD66),,IF(OR(D70="使用目的を入力",D70=""),0,AD71),IF(OR(D75="使用目的を入力",D75=""),0,AD76))</f>
        <v>0</v>
      </c>
      <c r="AC80" s="855"/>
      <c r="AD80" s="855"/>
      <c r="AE80" s="855"/>
      <c r="AF80" s="855"/>
      <c r="AG80" s="855"/>
      <c r="AH80" s="855"/>
      <c r="AI80" s="855"/>
      <c r="AJ80" s="855"/>
      <c r="AK80" s="855"/>
      <c r="AL80" s="855"/>
      <c r="AM80" s="309"/>
    </row>
    <row r="81" spans="2:54" ht="21" customHeight="1">
      <c r="T81" s="832" t="s">
        <v>694</v>
      </c>
      <c r="U81" s="832"/>
      <c r="V81" s="832"/>
      <c r="W81" s="832"/>
      <c r="X81" s="832"/>
      <c r="Y81" s="832"/>
      <c r="Z81" s="82"/>
      <c r="AA81" s="82"/>
      <c r="AB81" s="856">
        <f>ROUNDDOWN(SUM(AD32,AD41,AD49,AD66,AD71,AD76)*消費税率combobox,0)</f>
        <v>0</v>
      </c>
      <c r="AC81" s="856"/>
      <c r="AD81" s="856"/>
      <c r="AE81" s="856"/>
      <c r="AF81" s="856"/>
      <c r="AG81" s="856"/>
      <c r="AH81" s="856"/>
      <c r="AI81" s="856"/>
      <c r="AJ81" s="856"/>
      <c r="AK81" s="856"/>
      <c r="AL81" s="856"/>
      <c r="AM81" s="309"/>
      <c r="AN81" s="809" t="s">
        <v>707</v>
      </c>
      <c r="AO81" s="809"/>
      <c r="AP81" s="810">
        <v>0</v>
      </c>
      <c r="AQ81" s="810"/>
    </row>
    <row r="82" spans="2:54" ht="21" customHeight="1">
      <c r="T82" s="832" t="s">
        <v>165</v>
      </c>
      <c r="U82" s="832"/>
      <c r="V82" s="832"/>
      <c r="W82" s="832"/>
      <c r="X82" s="832"/>
      <c r="Y82" s="832"/>
      <c r="Z82" s="82"/>
      <c r="AA82" s="82"/>
      <c r="AB82" s="833">
        <f>AB80+AB81</f>
        <v>0</v>
      </c>
      <c r="AC82" s="833"/>
      <c r="AD82" s="833"/>
      <c r="AE82" s="833"/>
      <c r="AF82" s="833"/>
      <c r="AG82" s="833"/>
      <c r="AH82" s="833"/>
      <c r="AI82" s="833"/>
      <c r="AJ82" s="833"/>
      <c r="AK82" s="833"/>
      <c r="AL82" s="833"/>
      <c r="AM82" s="310"/>
    </row>
    <row r="83" spans="2:54" ht="6" customHeight="1">
      <c r="AA83" s="52"/>
      <c r="AB83" s="52"/>
      <c r="AC83" s="52"/>
      <c r="AD83" s="52"/>
      <c r="AE83" s="52"/>
      <c r="AF83" s="52"/>
      <c r="AG83" s="52"/>
      <c r="AH83" s="52"/>
      <c r="AI83" s="1"/>
      <c r="AJ83" s="53"/>
      <c r="AK83" s="136"/>
    </row>
    <row r="84" spans="2:54" ht="6" customHeight="1">
      <c r="AA84" s="52"/>
      <c r="AB84" s="52"/>
      <c r="AC84" s="52"/>
      <c r="AD84" s="52"/>
      <c r="AE84" s="52"/>
      <c r="AF84" s="52"/>
      <c r="AG84" s="52"/>
      <c r="AH84" s="52"/>
      <c r="AI84" s="1"/>
      <c r="AJ84" s="53"/>
      <c r="AK84" s="136"/>
    </row>
    <row r="85" spans="2:54">
      <c r="B85" t="s">
        <v>107</v>
      </c>
      <c r="E85" s="837"/>
      <c r="F85" s="837"/>
      <c r="G85" s="837"/>
      <c r="H85" s="837"/>
      <c r="I85" s="837"/>
      <c r="J85" s="837"/>
      <c r="K85" s="837"/>
      <c r="L85" s="837"/>
      <c r="M85" s="837"/>
      <c r="N85" s="837"/>
      <c r="O85" s="837"/>
      <c r="P85" s="837"/>
      <c r="Q85" s="837"/>
      <c r="R85" s="837"/>
      <c r="S85" s="837"/>
      <c r="T85" s="837"/>
      <c r="U85" s="837"/>
      <c r="V85" s="837"/>
      <c r="W85" s="837"/>
      <c r="X85" s="837"/>
      <c r="Y85" s="837"/>
      <c r="Z85" s="837"/>
      <c r="AA85" s="837"/>
      <c r="AB85" s="837"/>
      <c r="AC85" s="837"/>
      <c r="AD85" s="837"/>
      <c r="AE85" s="837"/>
      <c r="AF85" s="837"/>
      <c r="AG85" s="837"/>
      <c r="AH85" s="837"/>
      <c r="AI85" s="837"/>
      <c r="AJ85" s="24"/>
      <c r="AK85" s="24"/>
      <c r="AL85" s="24"/>
      <c r="AM85" s="24"/>
      <c r="AN85" s="1"/>
      <c r="AO85" s="1"/>
      <c r="AP85" s="1"/>
      <c r="AQ85" s="1"/>
      <c r="AR85" s="1"/>
    </row>
    <row r="86" spans="2:54">
      <c r="E86" s="837"/>
      <c r="F86" s="837"/>
      <c r="G86" s="837"/>
      <c r="H86" s="837"/>
      <c r="I86" s="837"/>
      <c r="J86" s="837"/>
      <c r="K86" s="837"/>
      <c r="L86" s="837"/>
      <c r="M86" s="837"/>
      <c r="N86" s="837"/>
      <c r="O86" s="837"/>
      <c r="P86" s="837"/>
      <c r="Q86" s="837"/>
      <c r="R86" s="837"/>
      <c r="S86" s="837"/>
      <c r="T86" s="837"/>
      <c r="U86" s="837"/>
      <c r="V86" s="837"/>
      <c r="W86" s="837"/>
      <c r="X86" s="837"/>
      <c r="Y86" s="837"/>
      <c r="Z86" s="837"/>
      <c r="AA86" s="837"/>
      <c r="AB86" s="837"/>
      <c r="AC86" s="837"/>
      <c r="AD86" s="837"/>
      <c r="AE86" s="837"/>
      <c r="AF86" s="837"/>
      <c r="AG86" s="837"/>
      <c r="AH86" s="837"/>
      <c r="AI86" s="837"/>
      <c r="AJ86" s="24"/>
      <c r="AK86" s="24"/>
      <c r="AL86" s="24"/>
      <c r="AM86" s="24"/>
      <c r="AN86" s="1"/>
      <c r="AO86" s="1"/>
      <c r="AP86" s="1"/>
      <c r="AQ86" s="1"/>
      <c r="AR86" s="1"/>
    </row>
    <row r="87" spans="2:54">
      <c r="E87" s="837"/>
      <c r="F87" s="837"/>
      <c r="G87" s="837"/>
      <c r="H87" s="837"/>
      <c r="I87" s="837"/>
      <c r="J87" s="837"/>
      <c r="K87" s="837"/>
      <c r="L87" s="837"/>
      <c r="M87" s="837"/>
      <c r="N87" s="837"/>
      <c r="O87" s="837"/>
      <c r="P87" s="837"/>
      <c r="Q87" s="837"/>
      <c r="R87" s="837"/>
      <c r="S87" s="837"/>
      <c r="T87" s="837"/>
      <c r="U87" s="837"/>
      <c r="V87" s="837"/>
      <c r="W87" s="837"/>
      <c r="X87" s="837"/>
      <c r="Y87" s="837"/>
      <c r="Z87" s="837"/>
      <c r="AA87" s="837"/>
      <c r="AB87" s="837"/>
      <c r="AC87" s="837"/>
      <c r="AD87" s="837"/>
      <c r="AE87" s="837"/>
      <c r="AF87" s="837"/>
      <c r="AG87" s="837"/>
      <c r="AH87" s="837"/>
      <c r="AI87" s="837"/>
      <c r="AJ87" s="24"/>
      <c r="AK87" s="24"/>
      <c r="AL87" s="24"/>
      <c r="AM87" s="24"/>
      <c r="AN87" s="1"/>
      <c r="AO87" s="1"/>
      <c r="AP87" s="1"/>
      <c r="AQ87" s="1"/>
      <c r="AR87" s="1"/>
    </row>
    <row r="88" spans="2:54">
      <c r="E88" s="837"/>
      <c r="F88" s="837"/>
      <c r="G88" s="837"/>
      <c r="H88" s="837"/>
      <c r="I88" s="837"/>
      <c r="J88" s="837"/>
      <c r="K88" s="837"/>
      <c r="L88" s="837"/>
      <c r="M88" s="837"/>
      <c r="N88" s="837"/>
      <c r="O88" s="837"/>
      <c r="P88" s="837"/>
      <c r="Q88" s="837"/>
      <c r="R88" s="837"/>
      <c r="S88" s="837"/>
      <c r="T88" s="837"/>
      <c r="U88" s="837"/>
      <c r="V88" s="837"/>
      <c r="W88" s="837"/>
      <c r="X88" s="837"/>
      <c r="Y88" s="837"/>
      <c r="Z88" s="837"/>
      <c r="AA88" s="837"/>
      <c r="AB88" s="837"/>
      <c r="AC88" s="837"/>
      <c r="AD88" s="837"/>
      <c r="AE88" s="837"/>
      <c r="AF88" s="837"/>
      <c r="AG88" s="837"/>
      <c r="AH88" s="837"/>
      <c r="AI88" s="837"/>
      <c r="AJ88" s="24"/>
      <c r="AK88" s="24"/>
      <c r="AL88" s="24"/>
      <c r="AM88" s="24"/>
      <c r="AN88" s="1"/>
      <c r="AO88" s="1"/>
      <c r="AP88" s="1"/>
      <c r="AQ88" s="1"/>
      <c r="AR88" s="1"/>
    </row>
    <row r="89" spans="2:54" ht="6" customHeight="1">
      <c r="AB89" s="1"/>
      <c r="AE89" s="1"/>
      <c r="AJ89" s="1"/>
    </row>
    <row r="90" spans="2:54" ht="13.5" customHeight="1">
      <c r="B90" t="s">
        <v>86</v>
      </c>
      <c r="E90" s="809" t="s">
        <v>164</v>
      </c>
      <c r="F90" s="809"/>
      <c r="G90" s="809"/>
      <c r="H90" s="809"/>
      <c r="K90" s="836" t="b">
        <v>1</v>
      </c>
      <c r="L90" s="836"/>
      <c r="M90" s="836"/>
      <c r="N90" s="836"/>
      <c r="O90" s="836"/>
      <c r="P90" s="836"/>
      <c r="Q90" s="836"/>
      <c r="R90" s="836"/>
      <c r="S90" s="836"/>
      <c r="T90" s="836"/>
      <c r="U90" s="836"/>
      <c r="V90" s="836"/>
      <c r="W90" s="836"/>
      <c r="X90" s="836"/>
      <c r="Y90" s="836"/>
      <c r="Z90" s="836"/>
      <c r="AA90" s="836"/>
      <c r="AB90" s="836"/>
      <c r="AC90" s="836"/>
      <c r="AD90" s="836"/>
      <c r="AE90" s="1"/>
      <c r="AJ90" s="1"/>
    </row>
    <row r="91" spans="2:54">
      <c r="K91" s="836" t="b">
        <v>0</v>
      </c>
      <c r="L91" s="838"/>
      <c r="M91" s="838"/>
      <c r="N91" s="838"/>
      <c r="O91" s="838"/>
      <c r="P91" s="838"/>
      <c r="Q91" s="838"/>
      <c r="R91" s="838"/>
      <c r="S91" s="838"/>
      <c r="T91" s="838"/>
      <c r="U91" s="838"/>
      <c r="V91" s="838"/>
      <c r="W91" s="838"/>
      <c r="X91" s="838"/>
      <c r="Y91" s="838"/>
      <c r="Z91" s="838"/>
      <c r="AA91" s="838"/>
      <c r="AB91" s="838"/>
      <c r="AC91" s="838"/>
      <c r="AD91" s="838"/>
      <c r="AE91" s="1"/>
      <c r="AJ91" s="1"/>
    </row>
    <row r="92" spans="2:54">
      <c r="H92" s="18"/>
      <c r="K92" s="836" t="b">
        <v>0</v>
      </c>
      <c r="L92" s="838"/>
      <c r="M92" s="838"/>
      <c r="N92" s="838"/>
      <c r="O92" s="838"/>
      <c r="P92" s="236" t="s">
        <v>213</v>
      </c>
      <c r="Q92" s="836"/>
      <c r="R92" s="836"/>
      <c r="S92" s="836"/>
      <c r="T92" s="836"/>
      <c r="U92" s="836"/>
      <c r="V92" s="836"/>
      <c r="W92" s="836"/>
      <c r="X92" s="836"/>
      <c r="Y92" s="838"/>
      <c r="Z92" s="849" t="s">
        <v>214</v>
      </c>
      <c r="AA92" s="849"/>
      <c r="AB92" s="849"/>
      <c r="AC92" s="849"/>
      <c r="AD92" s="157"/>
      <c r="AE92" s="1"/>
      <c r="AJ92" s="1"/>
    </row>
    <row r="93" spans="2:54">
      <c r="K93" s="836" t="b">
        <v>0</v>
      </c>
      <c r="L93" s="836"/>
      <c r="M93" s="836"/>
      <c r="N93" s="836"/>
      <c r="O93" s="236" t="s">
        <v>213</v>
      </c>
      <c r="P93" s="836"/>
      <c r="Q93" s="836"/>
      <c r="R93" s="836"/>
      <c r="S93" s="836"/>
      <c r="T93" s="836"/>
      <c r="U93" s="836"/>
      <c r="V93" s="836"/>
      <c r="W93" s="836"/>
      <c r="X93" s="836"/>
      <c r="Y93" s="836"/>
      <c r="Z93" s="836"/>
      <c r="AA93" s="157" t="s">
        <v>215</v>
      </c>
      <c r="AB93" s="157"/>
      <c r="AC93" s="157"/>
      <c r="AD93" s="157"/>
    </row>
    <row r="94" spans="2:54" ht="6.75" customHeight="1">
      <c r="K94" s="1"/>
      <c r="L94" s="1"/>
      <c r="M94" s="1"/>
      <c r="N94" s="1"/>
      <c r="O94" s="1"/>
      <c r="P94" s="1"/>
      <c r="Q94" s="1"/>
      <c r="R94" s="1"/>
      <c r="S94" s="1"/>
      <c r="T94" s="1"/>
      <c r="U94" s="1"/>
      <c r="V94" s="1"/>
      <c r="W94" s="1"/>
      <c r="X94" s="1"/>
      <c r="Y94" s="1"/>
      <c r="Z94" s="1"/>
      <c r="AA94" s="1"/>
      <c r="AB94" s="51"/>
      <c r="AC94" s="1"/>
      <c r="AD94" s="1"/>
      <c r="AE94" s="1"/>
      <c r="AJ94" s="1"/>
    </row>
    <row r="95" spans="2:54" ht="6.75" customHeight="1"/>
    <row r="96" spans="2:54" ht="13.5" customHeight="1">
      <c r="C96" t="s">
        <v>132</v>
      </c>
      <c r="E96" s="19" t="s">
        <v>161</v>
      </c>
      <c r="X96" s="857" t="s">
        <v>162</v>
      </c>
      <c r="Y96" s="857"/>
      <c r="AA96" s="19" t="s">
        <v>163</v>
      </c>
      <c r="AG96" s="19"/>
      <c r="AH96" s="19"/>
      <c r="BB96" t="s">
        <v>123</v>
      </c>
    </row>
    <row r="97" spans="4:61" ht="13.5" customHeight="1">
      <c r="D97" s="358" t="s">
        <v>131</v>
      </c>
      <c r="E97" s="359"/>
      <c r="F97" s="360"/>
      <c r="G97" s="361" t="s">
        <v>132</v>
      </c>
      <c r="H97" s="361"/>
      <c r="I97" s="361"/>
      <c r="J97" s="361"/>
      <c r="K97" s="361"/>
      <c r="L97" s="361"/>
      <c r="M97" s="361"/>
      <c r="N97" s="361"/>
      <c r="O97" s="361"/>
      <c r="P97" s="361"/>
      <c r="Q97" s="758" t="s">
        <v>216</v>
      </c>
      <c r="R97" s="828"/>
      <c r="S97" s="828"/>
      <c r="T97" s="827" t="s">
        <v>156</v>
      </c>
      <c r="U97" s="828"/>
      <c r="V97" s="827" t="s">
        <v>139</v>
      </c>
      <c r="W97" s="852"/>
      <c r="Z97" s="379" t="s">
        <v>131</v>
      </c>
      <c r="AA97" s="349"/>
      <c r="AB97" s="360"/>
      <c r="AC97" s="360" t="s">
        <v>132</v>
      </c>
      <c r="AD97" s="360"/>
      <c r="AE97" s="360"/>
      <c r="AF97" s="360"/>
      <c r="AG97" s="360"/>
      <c r="AH97" s="360"/>
      <c r="AI97" s="360"/>
      <c r="AJ97" s="360"/>
      <c r="AK97" s="360"/>
      <c r="AL97" s="360"/>
      <c r="AM97" s="758" t="s">
        <v>216</v>
      </c>
      <c r="AN97" s="828"/>
      <c r="AO97" s="828"/>
      <c r="AP97" s="827" t="s">
        <v>156</v>
      </c>
      <c r="AQ97" s="828"/>
      <c r="AR97" s="827" t="s">
        <v>139</v>
      </c>
      <c r="AS97" s="852"/>
      <c r="BB97" t="s">
        <v>124</v>
      </c>
    </row>
    <row r="98" spans="4:61">
      <c r="D98" s="362"/>
      <c r="E98" s="363" t="s">
        <v>232</v>
      </c>
      <c r="F98" s="858"/>
      <c r="G98" s="859"/>
      <c r="H98" s="859"/>
      <c r="I98" s="859"/>
      <c r="J98" s="859"/>
      <c r="K98" s="364" t="s">
        <v>220</v>
      </c>
      <c r="L98" s="862"/>
      <c r="M98" s="863"/>
      <c r="N98" s="863"/>
      <c r="O98" s="863"/>
      <c r="P98" s="863"/>
      <c r="Q98" s="365" t="s">
        <v>221</v>
      </c>
      <c r="R98" s="366">
        <f>IF(外注付託依頼書!$G$39="JICA等",IF(U98=DATEDIF(DATE(YEAR(L98),MONTH(L98),1),DATE(YEAR(L98),MONTH(L98)+1,1),"D"),ROUND(U98/30,2),ROUND(U98/30,2)),IF(U98=DATEDIF(DATE(YEAR(L98),MONTH(L98),1),DATE(YEAR(L98),MONTH(L98)+1,1),"D"),ROUND(30/30,2),IF(MONTH(L98)=2,ROUND(1-((DATEDIF(DATE(YEAR(L98),MONTH(L98),1),DATE(YEAR(L98),MONTH(L98)+1,1),"D")-U98)/30),2),ROUND(U98/30,2))))</f>
        <v>0</v>
      </c>
      <c r="S98" s="367" t="s">
        <v>219</v>
      </c>
      <c r="T98" s="365"/>
      <c r="U98" s="368">
        <f t="shared" ref="U98:U113" si="0">IF(AND(F98&lt;&gt;"",L98&lt;&gt;""),1+DATEDIF(F98,L98,"D"),0)</f>
        <v>0</v>
      </c>
      <c r="V98" s="365"/>
      <c r="W98" s="369" t="str">
        <f>IF(AND(D98&lt;&gt;"",D98&lt;&gt;"国内"),U98,"")</f>
        <v/>
      </c>
      <c r="X98" s="67"/>
      <c r="Z98" s="380"/>
      <c r="AA98" s="365" t="s">
        <v>232</v>
      </c>
      <c r="AB98" s="847"/>
      <c r="AC98" s="848"/>
      <c r="AD98" s="848"/>
      <c r="AE98" s="848"/>
      <c r="AF98" s="848"/>
      <c r="AG98" s="381" t="s">
        <v>220</v>
      </c>
      <c r="AH98" s="853"/>
      <c r="AI98" s="854"/>
      <c r="AJ98" s="854"/>
      <c r="AK98" s="854"/>
      <c r="AL98" s="854"/>
      <c r="AM98" s="365" t="s">
        <v>221</v>
      </c>
      <c r="AN98" s="366">
        <f>IF(外注付託依頼書!$G$39="JICA等",IF(AQ98=DATEDIF(DATE(YEAR(AH98),MONTH(AH98),1),DATE(YEAR(AH98),MONTH(AH98)+1,1),"D"),ROUND(AQ98/30,2),ROUND(AQ98/30,2)),IF(AQ98=DATEDIF(DATE(YEAR(AH98),MONTH(AH98),1),DATE(YEAR(AH98),MONTH(AH98)+1,1),"D"),ROUND(30/30,2),IF(MONTH(AH98)=2,ROUND(1-((DATEDIF(DATE(YEAR(AH98),MONTH(AH98),1),DATE(YEAR(AH98),MONTH(AH98)+1,1),"D")-AQ98)/30),2),ROUND(AQ98/30,2))))</f>
        <v>0</v>
      </c>
      <c r="AO98" s="367" t="s">
        <v>219</v>
      </c>
      <c r="AP98" s="365"/>
      <c r="AQ98" s="368">
        <f t="shared" ref="AQ98:AQ113" si="1">IF(AND(AB98&lt;&gt;"",AH98&lt;&gt;""),1+DATEDIF(AB98,AH98,"D"),0)</f>
        <v>0</v>
      </c>
      <c r="AR98" s="365"/>
      <c r="AS98" s="369" t="str">
        <f>IF(AND(Z98&lt;&gt;"",Z98&lt;&gt;"国内"),AQ98,"")</f>
        <v/>
      </c>
    </row>
    <row r="99" spans="4:61">
      <c r="D99" s="370"/>
      <c r="E99" s="234" t="s">
        <v>232</v>
      </c>
      <c r="F99" s="839"/>
      <c r="G99" s="840"/>
      <c r="H99" s="840"/>
      <c r="I99" s="840"/>
      <c r="J99" s="840"/>
      <c r="K99" s="149" t="s">
        <v>220</v>
      </c>
      <c r="L99" s="842"/>
      <c r="M99" s="843"/>
      <c r="N99" s="843"/>
      <c r="O99" s="843"/>
      <c r="P99" s="843"/>
      <c r="Q99" s="1" t="s">
        <v>221</v>
      </c>
      <c r="R99" s="134">
        <f>IF(外注付託依頼書!$G$39="JICA等",IF(U99=DATEDIF(DATE(YEAR(L99),MONTH(L99),1),DATE(YEAR(L99),MONTH(L99)+1,1),"D"),ROUND(U99/30,2),ROUND(U99/30,2)),IF(U99=DATEDIF(DATE(YEAR(L99),MONTH(L99),1),DATE(YEAR(L99),MONTH(L99)+1,1),"D"),ROUND(30/30,2),IF(MONTH(L99)=2,ROUND(1-((DATEDIF(DATE(YEAR(L99),MONTH(L99),1),DATE(YEAR(L99),MONTH(L99)+1,1),"D")-U99)/30),2),ROUND(U99/30,2))))</f>
        <v>0</v>
      </c>
      <c r="S99" s="51" t="s">
        <v>219</v>
      </c>
      <c r="T99" s="1"/>
      <c r="U99" s="156">
        <f t="shared" si="0"/>
        <v>0</v>
      </c>
      <c r="V99" s="1"/>
      <c r="W99" s="371" t="str">
        <f t="shared" ref="W99:W113" si="2">IF(AND(D99&lt;&gt;"",D99&lt;&gt;"国内"),U99,"")</f>
        <v/>
      </c>
      <c r="X99" s="67"/>
      <c r="Z99" s="382"/>
      <c r="AA99" s="1" t="s">
        <v>232</v>
      </c>
      <c r="AB99" s="834"/>
      <c r="AC99" s="563"/>
      <c r="AD99" s="563"/>
      <c r="AE99" s="563"/>
      <c r="AF99" s="563"/>
      <c r="AG99" s="65" t="s">
        <v>220</v>
      </c>
      <c r="AH99" s="835"/>
      <c r="AI99" s="836"/>
      <c r="AJ99" s="836"/>
      <c r="AK99" s="836"/>
      <c r="AL99" s="836"/>
      <c r="AM99" s="1" t="s">
        <v>221</v>
      </c>
      <c r="AN99" s="134">
        <f>IF(外注付託依頼書!$G$39="JICA等",IF(AQ99=DATEDIF(DATE(YEAR(AH99),MONTH(AH99),1),DATE(YEAR(AH99),MONTH(AH99)+1,1),"D"),ROUND(AQ99/30,2),ROUND(AQ99/30,2)),IF(AQ99=DATEDIF(DATE(YEAR(AH99),MONTH(AH99),1),DATE(YEAR(AH99),MONTH(AH99)+1,1),"D"),ROUND(30/30,2),IF(MONTH(AH99)=2,ROUND(1-((DATEDIF(DATE(YEAR(AH99),MONTH(AH99),1),DATE(YEAR(AH99),MONTH(AH99)+1,1),"D")-AQ99)/30),2),ROUND(AQ99/30,2))))</f>
        <v>0</v>
      </c>
      <c r="AO99" s="51" t="s">
        <v>219</v>
      </c>
      <c r="AP99" s="1"/>
      <c r="AQ99" s="156">
        <f t="shared" si="1"/>
        <v>0</v>
      </c>
      <c r="AR99" s="1"/>
      <c r="AS99" s="371" t="str">
        <f t="shared" ref="AS99:AS113" si="3">IF(AND(Z99&lt;&gt;"",Z99&lt;&gt;"国内"),AQ99,"")</f>
        <v/>
      </c>
      <c r="BB99" s="850" t="s">
        <v>137</v>
      </c>
      <c r="BC99" s="850"/>
      <c r="BD99" s="850"/>
      <c r="BE99" s="850"/>
      <c r="BF99" s="850" t="s">
        <v>138</v>
      </c>
      <c r="BG99" s="850"/>
      <c r="BH99" s="850"/>
      <c r="BI99" s="850"/>
    </row>
    <row r="100" spans="4:61">
      <c r="D100" s="370"/>
      <c r="E100" s="234" t="s">
        <v>232</v>
      </c>
      <c r="F100" s="839"/>
      <c r="G100" s="840"/>
      <c r="H100" s="840"/>
      <c r="I100" s="840"/>
      <c r="J100" s="840"/>
      <c r="K100" s="149" t="s">
        <v>220</v>
      </c>
      <c r="L100" s="842"/>
      <c r="M100" s="843"/>
      <c r="N100" s="843"/>
      <c r="O100" s="843"/>
      <c r="P100" s="843"/>
      <c r="Q100" s="1" t="s">
        <v>221</v>
      </c>
      <c r="R100" s="134">
        <f>IF(外注付託依頼書!$G$39="JICA等",IF(U100=DATEDIF(DATE(YEAR(L100),MONTH(L100),1),DATE(YEAR(L100),MONTH(L100)+1,1),"D"),ROUND(U100/30,2),ROUND(U100/30,2)),IF(U100=DATEDIF(DATE(YEAR(L100),MONTH(L100),1),DATE(YEAR(L100),MONTH(L100)+1,1),"D"),ROUND(30/30,2),IF(MONTH(L100)=2,ROUND(1-((DATEDIF(DATE(YEAR(L100),MONTH(L100),1),DATE(YEAR(L100),MONTH(L100)+1,1),"D")-U100)/30),2),ROUND(U100/30,2))))</f>
        <v>0</v>
      </c>
      <c r="S100" s="51" t="s">
        <v>219</v>
      </c>
      <c r="T100" s="1"/>
      <c r="U100" s="156">
        <f t="shared" si="0"/>
        <v>0</v>
      </c>
      <c r="V100" s="1"/>
      <c r="W100" s="371" t="str">
        <f t="shared" si="2"/>
        <v/>
      </c>
      <c r="X100" s="67"/>
      <c r="Z100" s="382"/>
      <c r="AA100" s="1" t="s">
        <v>232</v>
      </c>
      <c r="AB100" s="834"/>
      <c r="AC100" s="563"/>
      <c r="AD100" s="563"/>
      <c r="AE100" s="563"/>
      <c r="AF100" s="563"/>
      <c r="AG100" s="65" t="s">
        <v>220</v>
      </c>
      <c r="AH100" s="835"/>
      <c r="AI100" s="836"/>
      <c r="AJ100" s="836"/>
      <c r="AK100" s="836"/>
      <c r="AL100" s="836"/>
      <c r="AM100" s="1" t="s">
        <v>221</v>
      </c>
      <c r="AN100" s="134">
        <f>IF(外注付託依頼書!$G$39="JICA等",IF(AQ100=DATEDIF(DATE(YEAR(AH100),MONTH(AH100),1),DATE(YEAR(AH100),MONTH(AH100)+1,1),"D"),ROUND(AQ100/30,2),ROUND(AQ100/30,2)),IF(AQ100=DATEDIF(DATE(YEAR(AH100),MONTH(AH100),1),DATE(YEAR(AH100),MONTH(AH100)+1,1),"D"),ROUND(30/30,2),IF(MONTH(AH100)=2,ROUND(1-((DATEDIF(DATE(YEAR(AH100),MONTH(AH100),1),DATE(YEAR(AH100),MONTH(AH100)+1,1),"D")-AQ100)/30),2),ROUND(AQ100/30,2))))</f>
        <v>0</v>
      </c>
      <c r="AO100" s="51" t="s">
        <v>219</v>
      </c>
      <c r="AP100" s="1"/>
      <c r="AQ100" s="156">
        <f t="shared" si="1"/>
        <v>0</v>
      </c>
      <c r="AR100" s="1"/>
      <c r="AS100" s="371" t="str">
        <f t="shared" si="3"/>
        <v/>
      </c>
      <c r="BB100" s="56" t="s">
        <v>29</v>
      </c>
      <c r="BC100" s="56" t="s">
        <v>30</v>
      </c>
      <c r="BD100" s="56" t="s">
        <v>30</v>
      </c>
      <c r="BE100" s="56"/>
      <c r="BF100" s="56" t="s">
        <v>29</v>
      </c>
      <c r="BG100" s="56" t="s">
        <v>30</v>
      </c>
      <c r="BH100" s="56" t="s">
        <v>30</v>
      </c>
      <c r="BI100" s="56"/>
    </row>
    <row r="101" spans="4:61">
      <c r="D101" s="370"/>
      <c r="E101" s="234" t="s">
        <v>232</v>
      </c>
      <c r="F101" s="839"/>
      <c r="G101" s="840"/>
      <c r="H101" s="840"/>
      <c r="I101" s="840"/>
      <c r="J101" s="840"/>
      <c r="K101" s="149" t="s">
        <v>220</v>
      </c>
      <c r="L101" s="842"/>
      <c r="M101" s="843"/>
      <c r="N101" s="843"/>
      <c r="O101" s="843"/>
      <c r="P101" s="843"/>
      <c r="Q101" s="1" t="s">
        <v>221</v>
      </c>
      <c r="R101" s="134">
        <f>IF(外注付託依頼書!$G$39="JICA等",IF(U101=DATEDIF(DATE(YEAR(L101),MONTH(L101),1),DATE(YEAR(L101),MONTH(L101)+1,1),"D"),ROUND(U101/30,2),ROUND(U101/30,2)),IF(U101=DATEDIF(DATE(YEAR(L101),MONTH(L101),1),DATE(YEAR(L101),MONTH(L101)+1,1),"D"),ROUND(30/30,2),IF(MONTH(L101)=2,ROUND(1-((DATEDIF(DATE(YEAR(L101),MONTH(L101),1),DATE(YEAR(L101),MONTH(L101)+1,1),"D")-U101)/30),2),ROUND(U101/30,2))))</f>
        <v>0</v>
      </c>
      <c r="S101" s="51" t="s">
        <v>219</v>
      </c>
      <c r="T101" s="1"/>
      <c r="U101" s="156">
        <f t="shared" si="0"/>
        <v>0</v>
      </c>
      <c r="V101" s="1"/>
      <c r="W101" s="371" t="str">
        <f t="shared" si="2"/>
        <v/>
      </c>
      <c r="X101" s="67"/>
      <c r="Z101" s="382"/>
      <c r="AA101" s="1" t="s">
        <v>232</v>
      </c>
      <c r="AB101" s="834"/>
      <c r="AC101" s="563"/>
      <c r="AD101" s="563"/>
      <c r="AE101" s="563"/>
      <c r="AF101" s="563"/>
      <c r="AG101" s="65" t="s">
        <v>220</v>
      </c>
      <c r="AH101" s="835"/>
      <c r="AI101" s="836"/>
      <c r="AJ101" s="836"/>
      <c r="AK101" s="836"/>
      <c r="AL101" s="836"/>
      <c r="AM101" s="1" t="s">
        <v>221</v>
      </c>
      <c r="AN101" s="134">
        <f>IF(外注付託依頼書!$G$39="JICA等",IF(AQ101=DATEDIF(DATE(YEAR(AH101),MONTH(AH101),1),DATE(YEAR(AH101),MONTH(AH101)+1,1),"D"),ROUND(AQ101/30,2),ROUND(AQ101/30,2)),IF(AQ101=DATEDIF(DATE(YEAR(AH101),MONTH(AH101),1),DATE(YEAR(AH101),MONTH(AH101)+1,1),"D"),ROUND(30/30,2),IF(MONTH(AH101)=2,ROUND(1-((DATEDIF(DATE(YEAR(AH101),MONTH(AH101),1),DATE(YEAR(AH101),MONTH(AH101)+1,1),"D")-AQ101)/30),2),ROUND(AQ101/30,2))))</f>
        <v>0</v>
      </c>
      <c r="AO101" s="51" t="s">
        <v>219</v>
      </c>
      <c r="AP101" s="1"/>
      <c r="AQ101" s="156">
        <f t="shared" si="1"/>
        <v>0</v>
      </c>
      <c r="AR101" s="1"/>
      <c r="AS101" s="371" t="str">
        <f t="shared" si="3"/>
        <v/>
      </c>
      <c r="BB101" s="57">
        <v>1</v>
      </c>
      <c r="BC101" s="57">
        <v>31</v>
      </c>
      <c r="BD101" s="57">
        <v>31</v>
      </c>
      <c r="BE101" s="57"/>
      <c r="BF101" s="57">
        <v>1</v>
      </c>
      <c r="BG101" s="58">
        <v>1.03</v>
      </c>
      <c r="BH101" s="58"/>
      <c r="BI101" s="58"/>
    </row>
    <row r="102" spans="4:61">
      <c r="D102" s="370"/>
      <c r="E102" s="234" t="s">
        <v>232</v>
      </c>
      <c r="F102" s="839"/>
      <c r="G102" s="840"/>
      <c r="H102" s="840"/>
      <c r="I102" s="840"/>
      <c r="J102" s="840"/>
      <c r="K102" s="149" t="s">
        <v>220</v>
      </c>
      <c r="L102" s="842"/>
      <c r="M102" s="843"/>
      <c r="N102" s="843"/>
      <c r="O102" s="843"/>
      <c r="P102" s="843"/>
      <c r="Q102" s="1" t="s">
        <v>221</v>
      </c>
      <c r="R102" s="134">
        <f>IF(外注付託依頼書!$G$39="JICA等",IF(U102=DATEDIF(DATE(YEAR(L102),MONTH(L102),1),DATE(YEAR(L102),MONTH(L102)+1,1),"D"),ROUND(U102/30,2),ROUND(U102/30,2)),IF(U102=DATEDIF(DATE(YEAR(L102),MONTH(L102),1),DATE(YEAR(L102),MONTH(L102)+1,1),"D"),ROUND(30/30,2),IF(MONTH(L102)=2,ROUND(1-((DATEDIF(DATE(YEAR(L102),MONTH(L102),1),DATE(YEAR(L102),MONTH(L102)+1,1),"D")-U102)/30),2),ROUND(U102/30,2))))</f>
        <v>0</v>
      </c>
      <c r="S102" s="51" t="s">
        <v>219</v>
      </c>
      <c r="T102" s="1"/>
      <c r="U102" s="156">
        <f t="shared" si="0"/>
        <v>0</v>
      </c>
      <c r="V102" s="1"/>
      <c r="W102" s="371" t="str">
        <f t="shared" si="2"/>
        <v/>
      </c>
      <c r="X102" s="67"/>
      <c r="Z102" s="382"/>
      <c r="AA102" s="1" t="s">
        <v>232</v>
      </c>
      <c r="AB102" s="834"/>
      <c r="AC102" s="563"/>
      <c r="AD102" s="563"/>
      <c r="AE102" s="563"/>
      <c r="AF102" s="563"/>
      <c r="AG102" s="65" t="s">
        <v>220</v>
      </c>
      <c r="AH102" s="835"/>
      <c r="AI102" s="836"/>
      <c r="AJ102" s="836"/>
      <c r="AK102" s="836"/>
      <c r="AL102" s="836"/>
      <c r="AM102" s="1" t="s">
        <v>221</v>
      </c>
      <c r="AN102" s="134">
        <f>IF(外注付託依頼書!$G$39="JICA等",IF(AQ102=DATEDIF(DATE(YEAR(AH102),MONTH(AH102),1),DATE(YEAR(AH102),MONTH(AH102)+1,1),"D"),ROUND(AQ102/30,2),ROUND(AQ102/30,2)),IF(AQ102=DATEDIF(DATE(YEAR(AH102),MONTH(AH102),1),DATE(YEAR(AH102),MONTH(AH102)+1,1),"D"),ROUND(30/30,2),IF(MONTH(AH102)=2,ROUND(1-((DATEDIF(DATE(YEAR(AH102),MONTH(AH102),1),DATE(YEAR(AH102),MONTH(AH102)+1,1),"D")-AQ102)/30),2),ROUND(AQ102/30,2))))</f>
        <v>0</v>
      </c>
      <c r="AO102" s="51" t="s">
        <v>219</v>
      </c>
      <c r="AP102" s="1"/>
      <c r="AQ102" s="156">
        <f t="shared" si="1"/>
        <v>0</v>
      </c>
      <c r="AR102" s="1"/>
      <c r="AS102" s="371" t="str">
        <f t="shared" si="3"/>
        <v/>
      </c>
      <c r="BB102" s="57">
        <v>2</v>
      </c>
      <c r="BC102" s="57">
        <v>28</v>
      </c>
      <c r="BD102" s="57">
        <v>28</v>
      </c>
      <c r="BE102" s="57"/>
      <c r="BF102" s="57">
        <v>2</v>
      </c>
      <c r="BG102" s="58">
        <v>0.93</v>
      </c>
      <c r="BH102" s="58"/>
      <c r="BI102" s="58"/>
    </row>
    <row r="103" spans="4:61">
      <c r="D103" s="370"/>
      <c r="E103" s="234" t="s">
        <v>232</v>
      </c>
      <c r="F103" s="839"/>
      <c r="G103" s="840"/>
      <c r="H103" s="840"/>
      <c r="I103" s="840"/>
      <c r="J103" s="840"/>
      <c r="K103" s="149" t="s">
        <v>220</v>
      </c>
      <c r="L103" s="842"/>
      <c r="M103" s="843"/>
      <c r="N103" s="843"/>
      <c r="O103" s="843"/>
      <c r="P103" s="843"/>
      <c r="Q103" s="1" t="s">
        <v>221</v>
      </c>
      <c r="R103" s="134">
        <f>IF(外注付託依頼書!$G$39="JICA等",IF(U103=DATEDIF(DATE(YEAR(L103),MONTH(L103),1),DATE(YEAR(L103),MONTH(L103)+1,1),"D"),ROUND(U103/30,2),ROUND(U103/30,2)),IF(U103=DATEDIF(DATE(YEAR(L103),MONTH(L103),1),DATE(YEAR(L103),MONTH(L103)+1,1),"D"),ROUND(30/30,2),IF(MONTH(L103)=2,ROUND(1-((DATEDIF(DATE(YEAR(L103),MONTH(L103),1),DATE(YEAR(L103),MONTH(L103)+1,1),"D")-U103)/30),2),ROUND(U103/30,2))))</f>
        <v>0</v>
      </c>
      <c r="S103" s="51" t="s">
        <v>219</v>
      </c>
      <c r="T103" s="1"/>
      <c r="U103" s="156">
        <f t="shared" si="0"/>
        <v>0</v>
      </c>
      <c r="V103" s="1"/>
      <c r="W103" s="371" t="str">
        <f t="shared" si="2"/>
        <v/>
      </c>
      <c r="X103" s="67"/>
      <c r="Z103" s="382"/>
      <c r="AA103" s="1" t="s">
        <v>232</v>
      </c>
      <c r="AB103" s="834"/>
      <c r="AC103" s="563"/>
      <c r="AD103" s="563"/>
      <c r="AE103" s="563"/>
      <c r="AF103" s="563"/>
      <c r="AG103" s="65" t="s">
        <v>220</v>
      </c>
      <c r="AH103" s="835"/>
      <c r="AI103" s="836"/>
      <c r="AJ103" s="836"/>
      <c r="AK103" s="836"/>
      <c r="AL103" s="836"/>
      <c r="AM103" s="1" t="s">
        <v>221</v>
      </c>
      <c r="AN103" s="134">
        <f>IF(外注付託依頼書!$G$39="JICA等",IF(AQ103=DATEDIF(DATE(YEAR(AH103),MONTH(AH103),1),DATE(YEAR(AH103),MONTH(AH103)+1,1),"D"),ROUND(AQ103/30,2),ROUND(AQ103/30,2)),IF(AQ103=DATEDIF(DATE(YEAR(AH103),MONTH(AH103),1),DATE(YEAR(AH103),MONTH(AH103)+1,1),"D"),ROUND(30/30,2),IF(MONTH(AH103)=2,ROUND(1-((DATEDIF(DATE(YEAR(AH103),MONTH(AH103),1),DATE(YEAR(AH103),MONTH(AH103)+1,1),"D")-AQ103)/30),2),ROUND(AQ103/30,2))))</f>
        <v>0</v>
      </c>
      <c r="AO103" s="51" t="s">
        <v>219</v>
      </c>
      <c r="AP103" s="1"/>
      <c r="AQ103" s="156">
        <f t="shared" si="1"/>
        <v>0</v>
      </c>
      <c r="AR103" s="1"/>
      <c r="AS103" s="371" t="str">
        <f t="shared" si="3"/>
        <v/>
      </c>
      <c r="BB103" s="57">
        <v>3</v>
      </c>
      <c r="BC103" s="57">
        <v>31</v>
      </c>
      <c r="BD103" s="57">
        <v>31</v>
      </c>
      <c r="BE103" s="57"/>
      <c r="BF103" s="57">
        <v>3</v>
      </c>
      <c r="BG103" s="58">
        <v>1.03</v>
      </c>
      <c r="BH103" s="58"/>
      <c r="BI103" s="58"/>
    </row>
    <row r="104" spans="4:61">
      <c r="D104" s="370"/>
      <c r="E104" s="234" t="s">
        <v>232</v>
      </c>
      <c r="F104" s="839"/>
      <c r="G104" s="840"/>
      <c r="H104" s="840"/>
      <c r="I104" s="840"/>
      <c r="J104" s="840"/>
      <c r="K104" s="149" t="s">
        <v>220</v>
      </c>
      <c r="L104" s="842"/>
      <c r="M104" s="843"/>
      <c r="N104" s="843"/>
      <c r="O104" s="843"/>
      <c r="P104" s="843"/>
      <c r="Q104" s="1" t="s">
        <v>221</v>
      </c>
      <c r="R104" s="134">
        <f>IF(外注付託依頼書!$G$39="JICA等",IF(U104=DATEDIF(DATE(YEAR(L104),MONTH(L104),1),DATE(YEAR(L104),MONTH(L104)+1,1),"D"),ROUND(U104/30,2),ROUND(U104/30,2)),IF(U104=DATEDIF(DATE(YEAR(L104),MONTH(L104),1),DATE(YEAR(L104),MONTH(L104)+1,1),"D"),ROUND(30/30,2),IF(MONTH(L104)=2,ROUND(1-((DATEDIF(DATE(YEAR(L104),MONTH(L104),1),DATE(YEAR(L104),MONTH(L104)+1,1),"D")-U104)/30),2),ROUND(U104/30,2))))</f>
        <v>0</v>
      </c>
      <c r="S104" s="51" t="s">
        <v>219</v>
      </c>
      <c r="T104" s="1"/>
      <c r="U104" s="156">
        <f t="shared" si="0"/>
        <v>0</v>
      </c>
      <c r="V104" s="1"/>
      <c r="W104" s="371" t="str">
        <f t="shared" si="2"/>
        <v/>
      </c>
      <c r="X104" s="67"/>
      <c r="Z104" s="382"/>
      <c r="AA104" s="1" t="s">
        <v>232</v>
      </c>
      <c r="AB104" s="834"/>
      <c r="AC104" s="563"/>
      <c r="AD104" s="563"/>
      <c r="AE104" s="563"/>
      <c r="AF104" s="563"/>
      <c r="AG104" s="65" t="s">
        <v>220</v>
      </c>
      <c r="AH104" s="835"/>
      <c r="AI104" s="836"/>
      <c r="AJ104" s="836"/>
      <c r="AK104" s="836"/>
      <c r="AL104" s="836"/>
      <c r="AM104" s="1" t="s">
        <v>221</v>
      </c>
      <c r="AN104" s="134">
        <f>IF(外注付託依頼書!$G$39="JICA等",IF(AQ104=DATEDIF(DATE(YEAR(AH104),MONTH(AH104),1),DATE(YEAR(AH104),MONTH(AH104)+1,1),"D"),ROUND(AQ104/30,2),ROUND(AQ104/30,2)),IF(AQ104=DATEDIF(DATE(YEAR(AH104),MONTH(AH104),1),DATE(YEAR(AH104),MONTH(AH104)+1,1),"D"),ROUND(30/30,2),IF(MONTH(AH104)=2,ROUND(1-((DATEDIF(DATE(YEAR(AH104),MONTH(AH104),1),DATE(YEAR(AH104),MONTH(AH104)+1,1),"D")-AQ104)/30),2),ROUND(AQ104/30,2))))</f>
        <v>0</v>
      </c>
      <c r="AO104" s="51" t="s">
        <v>219</v>
      </c>
      <c r="AP104" s="1"/>
      <c r="AQ104" s="156">
        <f t="shared" si="1"/>
        <v>0</v>
      </c>
      <c r="AR104" s="1"/>
      <c r="AS104" s="371" t="str">
        <f t="shared" si="3"/>
        <v/>
      </c>
      <c r="BB104" s="57">
        <v>4</v>
      </c>
      <c r="BC104" s="57">
        <v>30</v>
      </c>
      <c r="BD104" s="57">
        <v>30</v>
      </c>
      <c r="BE104" s="57"/>
      <c r="BF104" s="57">
        <v>4</v>
      </c>
      <c r="BG104" s="58">
        <v>1</v>
      </c>
      <c r="BH104" s="58"/>
      <c r="BI104" s="58"/>
    </row>
    <row r="105" spans="4:61">
      <c r="D105" s="370"/>
      <c r="E105" s="234" t="s">
        <v>232</v>
      </c>
      <c r="F105" s="839"/>
      <c r="G105" s="840"/>
      <c r="H105" s="840"/>
      <c r="I105" s="840"/>
      <c r="J105" s="840"/>
      <c r="K105" s="149" t="s">
        <v>220</v>
      </c>
      <c r="L105" s="842"/>
      <c r="M105" s="843"/>
      <c r="N105" s="843"/>
      <c r="O105" s="843"/>
      <c r="P105" s="843"/>
      <c r="Q105" s="1" t="s">
        <v>221</v>
      </c>
      <c r="R105" s="134">
        <f>IF(外注付託依頼書!$G$39="JICA等",IF(U105=DATEDIF(DATE(YEAR(L105),MONTH(L105),1),DATE(YEAR(L105),MONTH(L105)+1,1),"D"),ROUND(U105/30,2),ROUND(U105/30,2)),IF(U105=DATEDIF(DATE(YEAR(L105),MONTH(L105),1),DATE(YEAR(L105),MONTH(L105)+1,1),"D"),ROUND(30/30,2),IF(MONTH(L105)=2,ROUND(1-((DATEDIF(DATE(YEAR(L105),MONTH(L105),1),DATE(YEAR(L105),MONTH(L105)+1,1),"D")-U105)/30),2),ROUND(U105/30,2))))</f>
        <v>0</v>
      </c>
      <c r="S105" s="51" t="s">
        <v>219</v>
      </c>
      <c r="T105" s="1"/>
      <c r="U105" s="156">
        <f t="shared" si="0"/>
        <v>0</v>
      </c>
      <c r="V105" s="1"/>
      <c r="W105" s="371" t="str">
        <f t="shared" si="2"/>
        <v/>
      </c>
      <c r="X105" s="67"/>
      <c r="Z105" s="382"/>
      <c r="AA105" s="1" t="s">
        <v>232</v>
      </c>
      <c r="AB105" s="834"/>
      <c r="AC105" s="563"/>
      <c r="AD105" s="563"/>
      <c r="AE105" s="563"/>
      <c r="AF105" s="563"/>
      <c r="AG105" s="65" t="s">
        <v>220</v>
      </c>
      <c r="AH105" s="835"/>
      <c r="AI105" s="836"/>
      <c r="AJ105" s="836"/>
      <c r="AK105" s="836"/>
      <c r="AL105" s="836"/>
      <c r="AM105" s="1" t="s">
        <v>221</v>
      </c>
      <c r="AN105" s="134">
        <f>IF(外注付託依頼書!$G$39="JICA等",IF(AQ105=DATEDIF(DATE(YEAR(AH105),MONTH(AH105),1),DATE(YEAR(AH105),MONTH(AH105)+1,1),"D"),ROUND(AQ105/30,2),ROUND(AQ105/30,2)),IF(AQ105=DATEDIF(DATE(YEAR(AH105),MONTH(AH105),1),DATE(YEAR(AH105),MONTH(AH105)+1,1),"D"),ROUND(30/30,2),IF(MONTH(AH105)=2,ROUND(1-((DATEDIF(DATE(YEAR(AH105),MONTH(AH105),1),DATE(YEAR(AH105),MONTH(AH105)+1,1),"D")-AQ105)/30),2),ROUND(AQ105/30,2))))</f>
        <v>0</v>
      </c>
      <c r="AO105" s="51" t="s">
        <v>219</v>
      </c>
      <c r="AP105" s="1"/>
      <c r="AQ105" s="156">
        <f t="shared" si="1"/>
        <v>0</v>
      </c>
      <c r="AR105" s="1"/>
      <c r="AS105" s="371" t="str">
        <f t="shared" si="3"/>
        <v/>
      </c>
      <c r="BB105" s="132">
        <v>5</v>
      </c>
      <c r="BC105" s="132">
        <v>31</v>
      </c>
      <c r="BD105" s="132">
        <v>31</v>
      </c>
      <c r="BE105" s="6"/>
      <c r="BF105" s="132">
        <v>5</v>
      </c>
      <c r="BG105" s="133">
        <v>1.03</v>
      </c>
      <c r="BH105" s="6"/>
      <c r="BI105" s="6"/>
    </row>
    <row r="106" spans="4:61">
      <c r="D106" s="370"/>
      <c r="E106" s="234" t="s">
        <v>232</v>
      </c>
      <c r="F106" s="839"/>
      <c r="G106" s="840"/>
      <c r="H106" s="840"/>
      <c r="I106" s="840"/>
      <c r="J106" s="840"/>
      <c r="K106" s="149" t="s">
        <v>220</v>
      </c>
      <c r="L106" s="842"/>
      <c r="M106" s="843"/>
      <c r="N106" s="843"/>
      <c r="O106" s="843"/>
      <c r="P106" s="843"/>
      <c r="Q106" s="1" t="s">
        <v>221</v>
      </c>
      <c r="R106" s="134">
        <f>IF(外注付託依頼書!$G$39="JICA等",IF(U106=DATEDIF(DATE(YEAR(L106),MONTH(L106),1),DATE(YEAR(L106),MONTH(L106)+1,1),"D"),ROUND(U106/30,2),ROUND(U106/30,2)),IF(U106=DATEDIF(DATE(YEAR(L106),MONTH(L106),1),DATE(YEAR(L106),MONTH(L106)+1,1),"D"),ROUND(30/30,2),IF(MONTH(L106)=2,ROUND(1-((DATEDIF(DATE(YEAR(L106),MONTH(L106),1),DATE(YEAR(L106),MONTH(L106)+1,1),"D")-U106)/30),2),ROUND(U106/30,2))))</f>
        <v>0</v>
      </c>
      <c r="S106" s="51" t="s">
        <v>219</v>
      </c>
      <c r="T106" s="1"/>
      <c r="U106" s="156">
        <f t="shared" si="0"/>
        <v>0</v>
      </c>
      <c r="V106" s="1"/>
      <c r="W106" s="371" t="str">
        <f t="shared" si="2"/>
        <v/>
      </c>
      <c r="X106" s="67"/>
      <c r="Z106" s="382"/>
      <c r="AA106" s="1" t="s">
        <v>232</v>
      </c>
      <c r="AB106" s="834"/>
      <c r="AC106" s="563"/>
      <c r="AD106" s="563"/>
      <c r="AE106" s="563"/>
      <c r="AF106" s="563"/>
      <c r="AG106" s="65" t="s">
        <v>220</v>
      </c>
      <c r="AH106" s="835"/>
      <c r="AI106" s="836"/>
      <c r="AJ106" s="836"/>
      <c r="AK106" s="836"/>
      <c r="AL106" s="836"/>
      <c r="AM106" s="1" t="s">
        <v>221</v>
      </c>
      <c r="AN106" s="134">
        <f>IF(外注付託依頼書!$G$39="JICA等",IF(AQ106=DATEDIF(DATE(YEAR(AH106),MONTH(AH106),1),DATE(YEAR(AH106),MONTH(AH106)+1,1),"D"),ROUND(AQ106/30,2),ROUND(AQ106/30,2)),IF(AQ106=DATEDIF(DATE(YEAR(AH106),MONTH(AH106),1),DATE(YEAR(AH106),MONTH(AH106)+1,1),"D"),ROUND(30/30,2),IF(MONTH(AH106)=2,ROUND(1-((DATEDIF(DATE(YEAR(AH106),MONTH(AH106),1),DATE(YEAR(AH106),MONTH(AH106)+1,1),"D")-AQ106)/30),2),ROUND(AQ106/30,2))))</f>
        <v>0</v>
      </c>
      <c r="AO106" s="51" t="s">
        <v>219</v>
      </c>
      <c r="AP106" s="1"/>
      <c r="AQ106" s="156">
        <f t="shared" si="1"/>
        <v>0</v>
      </c>
      <c r="AR106" s="1"/>
      <c r="AS106" s="371" t="str">
        <f t="shared" si="3"/>
        <v/>
      </c>
      <c r="BB106" s="57">
        <v>6</v>
      </c>
      <c r="BC106" s="57">
        <v>30</v>
      </c>
      <c r="BD106" s="57">
        <v>30</v>
      </c>
      <c r="BE106" s="57"/>
      <c r="BF106" s="57">
        <v>6</v>
      </c>
      <c r="BG106" s="58">
        <v>1</v>
      </c>
      <c r="BH106" s="58"/>
      <c r="BI106" s="58"/>
    </row>
    <row r="107" spans="4:61">
      <c r="D107" s="370"/>
      <c r="E107" s="234" t="s">
        <v>232</v>
      </c>
      <c r="F107" s="839"/>
      <c r="G107" s="840"/>
      <c r="H107" s="840"/>
      <c r="I107" s="840"/>
      <c r="J107" s="840"/>
      <c r="K107" s="149" t="s">
        <v>220</v>
      </c>
      <c r="L107" s="842"/>
      <c r="M107" s="843"/>
      <c r="N107" s="843"/>
      <c r="O107" s="843"/>
      <c r="P107" s="843"/>
      <c r="Q107" s="1" t="s">
        <v>221</v>
      </c>
      <c r="R107" s="134">
        <f>IF(外注付託依頼書!$G$39="JICA等",IF(U107=DATEDIF(DATE(YEAR(L107),MONTH(L107),1),DATE(YEAR(L107),MONTH(L107)+1,1),"D"),ROUND(U107/30,2),ROUND(U107/30,2)),IF(U107=DATEDIF(DATE(YEAR(L107),MONTH(L107),1),DATE(YEAR(L107),MONTH(L107)+1,1),"D"),ROUND(30/30,2),IF(MONTH(L107)=2,ROUND(1-((DATEDIF(DATE(YEAR(L107),MONTH(L107),1),DATE(YEAR(L107),MONTH(L107)+1,1),"D")-U107)/30),2),ROUND(U107/30,2))))</f>
        <v>0</v>
      </c>
      <c r="S107" s="51" t="s">
        <v>219</v>
      </c>
      <c r="T107" s="1"/>
      <c r="U107" s="156">
        <f t="shared" si="0"/>
        <v>0</v>
      </c>
      <c r="V107" s="1"/>
      <c r="W107" s="371" t="str">
        <f t="shared" si="2"/>
        <v/>
      </c>
      <c r="X107" s="67"/>
      <c r="Z107" s="382"/>
      <c r="AA107" s="1" t="s">
        <v>232</v>
      </c>
      <c r="AB107" s="834"/>
      <c r="AC107" s="563"/>
      <c r="AD107" s="563"/>
      <c r="AE107" s="563"/>
      <c r="AF107" s="563"/>
      <c r="AG107" s="65" t="s">
        <v>220</v>
      </c>
      <c r="AH107" s="835"/>
      <c r="AI107" s="836"/>
      <c r="AJ107" s="836"/>
      <c r="AK107" s="836"/>
      <c r="AL107" s="836"/>
      <c r="AM107" s="1" t="s">
        <v>221</v>
      </c>
      <c r="AN107" s="134">
        <f>IF(外注付託依頼書!$G$39="JICA等",IF(AQ107=DATEDIF(DATE(YEAR(AH107),MONTH(AH107),1),DATE(YEAR(AH107),MONTH(AH107)+1,1),"D"),ROUND(AQ107/30,2),ROUND(AQ107/30,2)),IF(AQ107=DATEDIF(DATE(YEAR(AH107),MONTH(AH107),1),DATE(YEAR(AH107),MONTH(AH107)+1,1),"D"),ROUND(30/30,2),IF(MONTH(AH107)=2,ROUND(1-((DATEDIF(DATE(YEAR(AH107),MONTH(AH107),1),DATE(YEAR(AH107),MONTH(AH107)+1,1),"D")-AQ107)/30),2),ROUND(AQ107/30,2))))</f>
        <v>0</v>
      </c>
      <c r="AO107" s="51" t="s">
        <v>219</v>
      </c>
      <c r="AP107" s="1"/>
      <c r="AQ107" s="156">
        <f t="shared" si="1"/>
        <v>0</v>
      </c>
      <c r="AR107" s="1"/>
      <c r="AS107" s="371" t="str">
        <f t="shared" si="3"/>
        <v/>
      </c>
      <c r="BB107" s="57">
        <v>7</v>
      </c>
      <c r="BC107" s="57">
        <v>31</v>
      </c>
      <c r="BD107" s="57">
        <v>31</v>
      </c>
      <c r="BE107" s="57"/>
      <c r="BF107" s="57">
        <v>7</v>
      </c>
      <c r="BG107" s="58">
        <v>1.03</v>
      </c>
      <c r="BH107" s="58"/>
      <c r="BI107" s="58"/>
    </row>
    <row r="108" spans="4:61">
      <c r="D108" s="370"/>
      <c r="E108" s="234" t="s">
        <v>232</v>
      </c>
      <c r="F108" s="839"/>
      <c r="G108" s="840"/>
      <c r="H108" s="840"/>
      <c r="I108" s="840"/>
      <c r="J108" s="840"/>
      <c r="K108" s="149" t="s">
        <v>220</v>
      </c>
      <c r="L108" s="842"/>
      <c r="M108" s="843"/>
      <c r="N108" s="843"/>
      <c r="O108" s="843"/>
      <c r="P108" s="843"/>
      <c r="Q108" s="1" t="s">
        <v>221</v>
      </c>
      <c r="R108" s="134">
        <f>IF(外注付託依頼書!$G$39="JICA等",IF(U108=DATEDIF(DATE(YEAR(L108),MONTH(L108),1),DATE(YEAR(L108),MONTH(L108)+1,1),"D"),ROUND(U108/30,2),ROUND(U108/30,2)),IF(U108=DATEDIF(DATE(YEAR(L108),MONTH(L108),1),DATE(YEAR(L108),MONTH(L108)+1,1),"D"),ROUND(30/30,2),IF(MONTH(L108)=2,ROUND(1-((DATEDIF(DATE(YEAR(L108),MONTH(L108),1),DATE(YEAR(L108),MONTH(L108)+1,1),"D")-U108)/30),2),ROUND(U108/30,2))))</f>
        <v>0</v>
      </c>
      <c r="S108" s="51" t="s">
        <v>219</v>
      </c>
      <c r="T108" s="1"/>
      <c r="U108" s="156">
        <f t="shared" si="0"/>
        <v>0</v>
      </c>
      <c r="V108" s="1"/>
      <c r="W108" s="371" t="str">
        <f t="shared" si="2"/>
        <v/>
      </c>
      <c r="X108" s="67"/>
      <c r="Z108" s="382"/>
      <c r="AA108" s="1" t="s">
        <v>232</v>
      </c>
      <c r="AB108" s="834"/>
      <c r="AC108" s="563"/>
      <c r="AD108" s="563"/>
      <c r="AE108" s="563"/>
      <c r="AF108" s="563"/>
      <c r="AG108" s="65" t="s">
        <v>220</v>
      </c>
      <c r="AH108" s="835"/>
      <c r="AI108" s="836"/>
      <c r="AJ108" s="836"/>
      <c r="AK108" s="836"/>
      <c r="AL108" s="836"/>
      <c r="AM108" s="1" t="s">
        <v>221</v>
      </c>
      <c r="AN108" s="134">
        <f>IF(外注付託依頼書!$G$39="JICA等",IF(AQ108=DATEDIF(DATE(YEAR(AH108),MONTH(AH108),1),DATE(YEAR(AH108),MONTH(AH108)+1,1),"D"),ROUND(AQ108/30,2),ROUND(AQ108/30,2)),IF(AQ108=DATEDIF(DATE(YEAR(AH108),MONTH(AH108),1),DATE(YEAR(AH108),MONTH(AH108)+1,1),"D"),ROUND(30/30,2),IF(MONTH(AH108)=2,ROUND(1-((DATEDIF(DATE(YEAR(AH108),MONTH(AH108),1),DATE(YEAR(AH108),MONTH(AH108)+1,1),"D")-AQ108)/30),2),ROUND(AQ108/30,2))))</f>
        <v>0</v>
      </c>
      <c r="AO108" s="51" t="s">
        <v>219</v>
      </c>
      <c r="AP108" s="1"/>
      <c r="AQ108" s="156">
        <f t="shared" si="1"/>
        <v>0</v>
      </c>
      <c r="AR108" s="1"/>
      <c r="AS108" s="371" t="str">
        <f t="shared" si="3"/>
        <v/>
      </c>
      <c r="BB108" s="57">
        <v>8</v>
      </c>
      <c r="BC108" s="57">
        <v>31</v>
      </c>
      <c r="BD108" s="57">
        <v>31</v>
      </c>
      <c r="BE108" s="57"/>
      <c r="BF108" s="57">
        <v>8</v>
      </c>
      <c r="BG108" s="58">
        <v>1.03</v>
      </c>
      <c r="BH108" s="58"/>
      <c r="BI108" s="58"/>
    </row>
    <row r="109" spans="4:61">
      <c r="D109" s="370"/>
      <c r="E109" s="234" t="s">
        <v>232</v>
      </c>
      <c r="F109" s="839"/>
      <c r="G109" s="840"/>
      <c r="H109" s="840"/>
      <c r="I109" s="840"/>
      <c r="J109" s="840"/>
      <c r="K109" s="149" t="s">
        <v>220</v>
      </c>
      <c r="L109" s="842"/>
      <c r="M109" s="843"/>
      <c r="N109" s="843"/>
      <c r="O109" s="843"/>
      <c r="P109" s="843"/>
      <c r="Q109" s="1" t="s">
        <v>221</v>
      </c>
      <c r="R109" s="134">
        <f>IF(外注付託依頼書!$G$39="JICA等",IF(U109=DATEDIF(DATE(YEAR(L109),MONTH(L109),1),DATE(YEAR(L109),MONTH(L109)+1,1),"D"),ROUND(U109/30,2),ROUND(U109/30,2)),IF(U109=DATEDIF(DATE(YEAR(L109),MONTH(L109),1),DATE(YEAR(L109),MONTH(L109)+1,1),"D"),ROUND(30/30,2),IF(MONTH(L109)=2,ROUND(1-((DATEDIF(DATE(YEAR(L109),MONTH(L109),1),DATE(YEAR(L109),MONTH(L109)+1,1),"D")-U109)/30),2),ROUND(U109/30,2))))</f>
        <v>0</v>
      </c>
      <c r="S109" s="51" t="s">
        <v>219</v>
      </c>
      <c r="T109" s="1"/>
      <c r="U109" s="156">
        <f t="shared" si="0"/>
        <v>0</v>
      </c>
      <c r="V109" s="1"/>
      <c r="W109" s="371" t="str">
        <f t="shared" si="2"/>
        <v/>
      </c>
      <c r="X109" s="67"/>
      <c r="Z109" s="382"/>
      <c r="AA109" s="1" t="s">
        <v>232</v>
      </c>
      <c r="AB109" s="834"/>
      <c r="AC109" s="563"/>
      <c r="AD109" s="563"/>
      <c r="AE109" s="563"/>
      <c r="AF109" s="563"/>
      <c r="AG109" s="65" t="s">
        <v>220</v>
      </c>
      <c r="AH109" s="835"/>
      <c r="AI109" s="836"/>
      <c r="AJ109" s="836"/>
      <c r="AK109" s="836"/>
      <c r="AL109" s="836"/>
      <c r="AM109" s="1" t="s">
        <v>221</v>
      </c>
      <c r="AN109" s="134">
        <f>IF(外注付託依頼書!$G$39="JICA等",IF(AQ109=DATEDIF(DATE(YEAR(AH109),MONTH(AH109),1),DATE(YEAR(AH109),MONTH(AH109)+1,1),"D"),ROUND(AQ109/30,2),ROUND(AQ109/30,2)),IF(AQ109=DATEDIF(DATE(YEAR(AH109),MONTH(AH109),1),DATE(YEAR(AH109),MONTH(AH109)+1,1),"D"),ROUND(30/30,2),IF(MONTH(AH109)=2,ROUND(1-((DATEDIF(DATE(YEAR(AH109),MONTH(AH109),1),DATE(YEAR(AH109),MONTH(AH109)+1,1),"D")-AQ109)/30),2),ROUND(AQ109/30,2))))</f>
        <v>0</v>
      </c>
      <c r="AO109" s="51" t="s">
        <v>219</v>
      </c>
      <c r="AP109" s="1"/>
      <c r="AQ109" s="156">
        <f t="shared" si="1"/>
        <v>0</v>
      </c>
      <c r="AR109" s="1"/>
      <c r="AS109" s="371" t="str">
        <f t="shared" si="3"/>
        <v/>
      </c>
      <c r="BB109" s="57">
        <v>9</v>
      </c>
      <c r="BC109" s="57">
        <v>30</v>
      </c>
      <c r="BD109" s="57">
        <v>30</v>
      </c>
      <c r="BE109" s="57"/>
      <c r="BF109" s="57">
        <v>9</v>
      </c>
      <c r="BG109" s="58">
        <v>1</v>
      </c>
      <c r="BH109" s="58"/>
      <c r="BI109" s="58"/>
    </row>
    <row r="110" spans="4:61">
      <c r="D110" s="370"/>
      <c r="E110" s="234" t="s">
        <v>232</v>
      </c>
      <c r="F110" s="839"/>
      <c r="G110" s="840"/>
      <c r="H110" s="840"/>
      <c r="I110" s="840"/>
      <c r="J110" s="840"/>
      <c r="K110" s="149" t="s">
        <v>220</v>
      </c>
      <c r="L110" s="842"/>
      <c r="M110" s="843"/>
      <c r="N110" s="843"/>
      <c r="O110" s="843"/>
      <c r="P110" s="843"/>
      <c r="Q110" s="1" t="s">
        <v>221</v>
      </c>
      <c r="R110" s="134">
        <f>IF(外注付託依頼書!$G$39="JICA等",IF(U110=DATEDIF(DATE(YEAR(L110),MONTH(L110),1),DATE(YEAR(L110),MONTH(L110)+1,1),"D"),ROUND(U110/30,2),ROUND(U110/30,2)),IF(U110=DATEDIF(DATE(YEAR(L110),MONTH(L110),1),DATE(YEAR(L110),MONTH(L110)+1,1),"D"),ROUND(30/30,2),IF(MONTH(L110)=2,ROUND(1-((DATEDIF(DATE(YEAR(L110),MONTH(L110),1),DATE(YEAR(L110),MONTH(L110)+1,1),"D")-U110)/30),2),ROUND(U110/30,2))))</f>
        <v>0</v>
      </c>
      <c r="S110" s="51" t="s">
        <v>219</v>
      </c>
      <c r="T110" s="1"/>
      <c r="U110" s="156">
        <f t="shared" si="0"/>
        <v>0</v>
      </c>
      <c r="V110" s="1"/>
      <c r="W110" s="371" t="str">
        <f t="shared" si="2"/>
        <v/>
      </c>
      <c r="X110" s="67"/>
      <c r="Z110" s="382"/>
      <c r="AA110" s="1" t="s">
        <v>232</v>
      </c>
      <c r="AB110" s="834"/>
      <c r="AC110" s="563"/>
      <c r="AD110" s="563"/>
      <c r="AE110" s="563"/>
      <c r="AF110" s="563"/>
      <c r="AG110" s="65" t="s">
        <v>220</v>
      </c>
      <c r="AH110" s="835"/>
      <c r="AI110" s="836"/>
      <c r="AJ110" s="836"/>
      <c r="AK110" s="836"/>
      <c r="AL110" s="836"/>
      <c r="AM110" s="1" t="s">
        <v>221</v>
      </c>
      <c r="AN110" s="134">
        <f>IF(外注付託依頼書!$G$39="JICA等",IF(AQ110=DATEDIF(DATE(YEAR(AH110),MONTH(AH110),1),DATE(YEAR(AH110),MONTH(AH110)+1,1),"D"),ROUND(AQ110/30,2),ROUND(AQ110/30,2)),IF(AQ110=DATEDIF(DATE(YEAR(AH110),MONTH(AH110),1),DATE(YEAR(AH110),MONTH(AH110)+1,1),"D"),ROUND(30/30,2),IF(MONTH(AH110)=2,ROUND(1-((DATEDIF(DATE(YEAR(AH110),MONTH(AH110),1),DATE(YEAR(AH110),MONTH(AH110)+1,1),"D")-AQ110)/30),2),ROUND(AQ110/30,2))))</f>
        <v>0</v>
      </c>
      <c r="AO110" s="51" t="s">
        <v>219</v>
      </c>
      <c r="AP110" s="1"/>
      <c r="AQ110" s="156">
        <f t="shared" si="1"/>
        <v>0</v>
      </c>
      <c r="AR110" s="1"/>
      <c r="AS110" s="371" t="str">
        <f t="shared" si="3"/>
        <v/>
      </c>
      <c r="BB110" s="57">
        <v>10</v>
      </c>
      <c r="BC110" s="57">
        <v>31</v>
      </c>
      <c r="BD110" s="57">
        <v>31</v>
      </c>
      <c r="BE110" s="57"/>
      <c r="BF110" s="57">
        <v>10</v>
      </c>
      <c r="BG110" s="58">
        <v>1.03</v>
      </c>
      <c r="BH110" s="58"/>
      <c r="BI110" s="58"/>
    </row>
    <row r="111" spans="4:61">
      <c r="D111" s="370"/>
      <c r="E111" s="234" t="s">
        <v>232</v>
      </c>
      <c r="F111" s="839"/>
      <c r="G111" s="840"/>
      <c r="H111" s="840"/>
      <c r="I111" s="840"/>
      <c r="J111" s="840"/>
      <c r="K111" s="149" t="s">
        <v>220</v>
      </c>
      <c r="L111" s="842"/>
      <c r="M111" s="843"/>
      <c r="N111" s="843"/>
      <c r="O111" s="843"/>
      <c r="P111" s="843"/>
      <c r="Q111" s="1" t="s">
        <v>221</v>
      </c>
      <c r="R111" s="134">
        <f>IF(外注付託依頼書!$G$39="JICA等",IF(U111=DATEDIF(DATE(YEAR(L111),MONTH(L111),1),DATE(YEAR(L111),MONTH(L111)+1,1),"D"),ROUND(U111/30,2),ROUND(U111/30,2)),IF(U111=DATEDIF(DATE(YEAR(L111),MONTH(L111),1),DATE(YEAR(L111),MONTH(L111)+1,1),"D"),ROUND(30/30,2),IF(MONTH(L111)=2,ROUND(1-((DATEDIF(DATE(YEAR(L111),MONTH(L111),1),DATE(YEAR(L111),MONTH(L111)+1,1),"D")-U111)/30),2),ROUND(U111/30,2))))</f>
        <v>0</v>
      </c>
      <c r="S111" s="51" t="s">
        <v>219</v>
      </c>
      <c r="T111" s="1"/>
      <c r="U111" s="156">
        <f t="shared" si="0"/>
        <v>0</v>
      </c>
      <c r="V111" s="1"/>
      <c r="W111" s="371" t="str">
        <f t="shared" si="2"/>
        <v/>
      </c>
      <c r="X111" s="67"/>
      <c r="Z111" s="382"/>
      <c r="AA111" s="1" t="s">
        <v>232</v>
      </c>
      <c r="AB111" s="834"/>
      <c r="AC111" s="563"/>
      <c r="AD111" s="563"/>
      <c r="AE111" s="563"/>
      <c r="AF111" s="563"/>
      <c r="AG111" s="65" t="s">
        <v>220</v>
      </c>
      <c r="AH111" s="835"/>
      <c r="AI111" s="836"/>
      <c r="AJ111" s="836"/>
      <c r="AK111" s="836"/>
      <c r="AL111" s="836"/>
      <c r="AM111" s="1" t="s">
        <v>221</v>
      </c>
      <c r="AN111" s="134">
        <f>IF(外注付託依頼書!$G$39="JICA等",IF(AQ111=DATEDIF(DATE(YEAR(AH111),MONTH(AH111),1),DATE(YEAR(AH111),MONTH(AH111)+1,1),"D"),ROUND(AQ111/30,2),ROUND(AQ111/30,2)),IF(AQ111=DATEDIF(DATE(YEAR(AH111),MONTH(AH111),1),DATE(YEAR(AH111),MONTH(AH111)+1,1),"D"),ROUND(30/30,2),IF(MONTH(AH111)=2,ROUND(1-((DATEDIF(DATE(YEAR(AH111),MONTH(AH111),1),DATE(YEAR(AH111),MONTH(AH111)+1,1),"D")-AQ111)/30),2),ROUND(AQ111/30,2))))</f>
        <v>0</v>
      </c>
      <c r="AO111" s="51" t="s">
        <v>219</v>
      </c>
      <c r="AP111" s="1"/>
      <c r="AQ111" s="156">
        <f t="shared" si="1"/>
        <v>0</v>
      </c>
      <c r="AR111" s="1"/>
      <c r="AS111" s="371" t="str">
        <f t="shared" si="3"/>
        <v/>
      </c>
      <c r="BB111" s="57">
        <v>11</v>
      </c>
      <c r="BC111" s="57">
        <v>30</v>
      </c>
      <c r="BD111" s="57">
        <v>30</v>
      </c>
      <c r="BE111" s="57"/>
      <c r="BF111" s="57">
        <v>11</v>
      </c>
      <c r="BG111" s="58">
        <v>1</v>
      </c>
      <c r="BH111" s="58"/>
      <c r="BI111" s="58"/>
    </row>
    <row r="112" spans="4:61">
      <c r="D112" s="370"/>
      <c r="E112" s="234" t="s">
        <v>232</v>
      </c>
      <c r="F112" s="839"/>
      <c r="G112" s="840"/>
      <c r="H112" s="840"/>
      <c r="I112" s="840"/>
      <c r="J112" s="840"/>
      <c r="K112" s="149" t="s">
        <v>220</v>
      </c>
      <c r="L112" s="842"/>
      <c r="M112" s="843"/>
      <c r="N112" s="843"/>
      <c r="O112" s="843"/>
      <c r="P112" s="843"/>
      <c r="Q112" s="1" t="s">
        <v>221</v>
      </c>
      <c r="R112" s="134">
        <f>IF(外注付託依頼書!$G$39="JICA等",IF(U112=DATEDIF(DATE(YEAR(L112),MONTH(L112),1),DATE(YEAR(L112),MONTH(L112)+1,1),"D"),ROUND(U112/30,2),ROUND(U112/30,2)),IF(U112=DATEDIF(DATE(YEAR(L112),MONTH(L112),1),DATE(YEAR(L112),MONTH(L112)+1,1),"D"),ROUND(30/30,2),IF(MONTH(L112)=2,ROUND(1-((DATEDIF(DATE(YEAR(L112),MONTH(L112),1),DATE(YEAR(L112),MONTH(L112)+1,1),"D")-U112)/30),2),ROUND(U112/30,2))))</f>
        <v>0</v>
      </c>
      <c r="S112" s="51" t="s">
        <v>219</v>
      </c>
      <c r="T112" s="1"/>
      <c r="U112" s="156">
        <f t="shared" si="0"/>
        <v>0</v>
      </c>
      <c r="V112" s="1"/>
      <c r="W112" s="371" t="str">
        <f t="shared" si="2"/>
        <v/>
      </c>
      <c r="X112" s="67"/>
      <c r="Z112" s="382"/>
      <c r="AA112" s="1" t="s">
        <v>232</v>
      </c>
      <c r="AB112" s="834"/>
      <c r="AC112" s="563"/>
      <c r="AD112" s="563"/>
      <c r="AE112" s="563"/>
      <c r="AF112" s="563"/>
      <c r="AG112" s="65" t="s">
        <v>220</v>
      </c>
      <c r="AH112" s="835"/>
      <c r="AI112" s="836"/>
      <c r="AJ112" s="836"/>
      <c r="AK112" s="836"/>
      <c r="AL112" s="836"/>
      <c r="AM112" s="1" t="s">
        <v>221</v>
      </c>
      <c r="AN112" s="134">
        <f>IF(外注付託依頼書!$G$39="JICA等",IF(AQ112=DATEDIF(DATE(YEAR(AH112),MONTH(AH112),1),DATE(YEAR(AH112),MONTH(AH112)+1,1),"D"),ROUND(AQ112/30,2),ROUND(AQ112/30,2)),IF(AQ112=DATEDIF(DATE(YEAR(AH112),MONTH(AH112),1),DATE(YEAR(AH112),MONTH(AH112)+1,1),"D"),ROUND(30/30,2),IF(MONTH(AH112)=2,ROUND(1-((DATEDIF(DATE(YEAR(AH112),MONTH(AH112),1),DATE(YEAR(AH112),MONTH(AH112)+1,1),"D")-AQ112)/30),2),ROUND(AQ112/30,2))))</f>
        <v>0</v>
      </c>
      <c r="AO112" s="51" t="s">
        <v>219</v>
      </c>
      <c r="AP112" s="1"/>
      <c r="AQ112" s="156">
        <f t="shared" si="1"/>
        <v>0</v>
      </c>
      <c r="AR112" s="1"/>
      <c r="AS112" s="371" t="str">
        <f t="shared" si="3"/>
        <v/>
      </c>
      <c r="BB112" s="57">
        <v>12</v>
      </c>
      <c r="BC112" s="57">
        <v>31</v>
      </c>
      <c r="BD112" s="57">
        <v>31</v>
      </c>
      <c r="BE112" s="57"/>
      <c r="BF112" s="57">
        <v>12</v>
      </c>
      <c r="BG112" s="58">
        <v>1.03</v>
      </c>
      <c r="BH112" s="58"/>
      <c r="BI112" s="58"/>
    </row>
    <row r="113" spans="2:56">
      <c r="D113" s="372"/>
      <c r="E113" s="373" t="s">
        <v>232</v>
      </c>
      <c r="F113" s="948"/>
      <c r="G113" s="949"/>
      <c r="H113" s="949"/>
      <c r="I113" s="949"/>
      <c r="J113" s="949"/>
      <c r="K113" s="374" t="s">
        <v>220</v>
      </c>
      <c r="L113" s="950"/>
      <c r="M113" s="951"/>
      <c r="N113" s="951"/>
      <c r="O113" s="951"/>
      <c r="P113" s="951"/>
      <c r="Q113" s="7" t="s">
        <v>221</v>
      </c>
      <c r="R113" s="375">
        <f>IF(外注付託依頼書!$G$39="JICA等",IF(U113=DATEDIF(DATE(YEAR(L113),MONTH(L113),1),DATE(YEAR(L113),MONTH(L113)+1,1),"D"),ROUND(U113/30,2),ROUND(U113/30,2)),IF(U113=DATEDIF(DATE(YEAR(L113),MONTH(L113),1),DATE(YEAR(L113),MONTH(L113)+1,1),"D"),ROUND(30/30,2),IF(MONTH(L113)=2,ROUND(1-((DATEDIF(DATE(YEAR(L113),MONTH(L113),1),DATE(YEAR(L113),MONTH(L113)+1,1),"D")-U113)/30),2),ROUND(U113/30,2))))</f>
        <v>0</v>
      </c>
      <c r="S113" s="376" t="s">
        <v>219</v>
      </c>
      <c r="T113" s="7"/>
      <c r="U113" s="377">
        <f t="shared" si="0"/>
        <v>0</v>
      </c>
      <c r="V113" s="7"/>
      <c r="W113" s="378" t="str">
        <f t="shared" si="2"/>
        <v/>
      </c>
      <c r="X113" s="67"/>
      <c r="Z113" s="383"/>
      <c r="AA113" s="7" t="s">
        <v>232</v>
      </c>
      <c r="AB113" s="952"/>
      <c r="AC113" s="477"/>
      <c r="AD113" s="477"/>
      <c r="AE113" s="477"/>
      <c r="AF113" s="477"/>
      <c r="AG113" s="384" t="s">
        <v>220</v>
      </c>
      <c r="AH113" s="945"/>
      <c r="AI113" s="837"/>
      <c r="AJ113" s="837"/>
      <c r="AK113" s="837"/>
      <c r="AL113" s="837"/>
      <c r="AM113" s="7" t="s">
        <v>221</v>
      </c>
      <c r="AN113" s="375">
        <f>IF(外注付託依頼書!$G$39="JICA等",IF(AQ113=DATEDIF(DATE(YEAR(AH113),MONTH(AH113),1),DATE(YEAR(AH113),MONTH(AH113)+1,1),"D"),ROUND(AQ113/30,2),ROUND(AQ113/30,2)),IF(AQ113=DATEDIF(DATE(YEAR(AH113),MONTH(AH113),1),DATE(YEAR(AH113),MONTH(AH113)+1,1),"D"),ROUND(30/30,2),IF(MONTH(AH113)=2,ROUND(1-((DATEDIF(DATE(YEAR(AH113),MONTH(AH113),1),DATE(YEAR(AH113),MONTH(AH113)+1,1),"D")-AQ113)/30),2),ROUND(AQ113/30,2))))</f>
        <v>0</v>
      </c>
      <c r="AO113" s="376" t="s">
        <v>219</v>
      </c>
      <c r="AP113" s="7"/>
      <c r="AQ113" s="377">
        <f t="shared" si="1"/>
        <v>0</v>
      </c>
      <c r="AR113" s="7"/>
      <c r="AS113" s="378" t="str">
        <f t="shared" si="3"/>
        <v/>
      </c>
    </row>
    <row r="115" spans="2:56" ht="3.75" customHeight="1">
      <c r="D115" s="385" t="s">
        <v>217</v>
      </c>
      <c r="E115" s="365"/>
      <c r="F115" s="365"/>
      <c r="G115" s="365"/>
      <c r="H115" s="365"/>
      <c r="I115" s="365"/>
      <c r="J115" s="365"/>
      <c r="K115" s="365"/>
      <c r="L115" s="365"/>
      <c r="M115" s="365"/>
      <c r="N115" s="365"/>
      <c r="O115" s="365"/>
      <c r="P115" s="365"/>
      <c r="Q115" s="365"/>
      <c r="R115" s="365"/>
      <c r="S115" s="365"/>
      <c r="T115" s="365"/>
      <c r="U115" s="365"/>
      <c r="V115" s="365"/>
      <c r="W115" s="386"/>
      <c r="Z115" s="385"/>
      <c r="AA115" s="365"/>
      <c r="AB115" s="365"/>
      <c r="AC115" s="365"/>
      <c r="AD115" s="365"/>
      <c r="AE115" s="365"/>
      <c r="AF115" s="365"/>
      <c r="AG115" s="365"/>
      <c r="AH115" s="365"/>
      <c r="AI115" s="365"/>
      <c r="AJ115" s="365"/>
      <c r="AK115" s="365"/>
      <c r="AL115" s="365"/>
      <c r="AM115" s="365"/>
      <c r="AN115" s="365"/>
      <c r="AO115" s="365"/>
      <c r="AP115" s="365"/>
      <c r="AQ115" s="365"/>
      <c r="AR115" s="365"/>
      <c r="AS115" s="386"/>
    </row>
    <row r="116" spans="2:56" ht="14.25">
      <c r="D116" s="387" t="s">
        <v>217</v>
      </c>
      <c r="E116" s="7"/>
      <c r="F116" s="7"/>
      <c r="G116" s="7"/>
      <c r="H116" s="7"/>
      <c r="I116" s="7"/>
      <c r="J116" s="7"/>
      <c r="K116" s="7"/>
      <c r="L116" s="7"/>
      <c r="M116" s="7"/>
      <c r="N116" s="7"/>
      <c r="O116" s="7"/>
      <c r="P116" s="7"/>
      <c r="Q116" s="911">
        <f>ROUND(SUM(MMSTART1:MMEND1),2)</f>
        <v>0</v>
      </c>
      <c r="R116" s="911"/>
      <c r="S116" s="7"/>
      <c r="T116" s="831">
        <f>SUM(WORKDAYSTART1:WORKDAYEND1)</f>
        <v>0</v>
      </c>
      <c r="U116" s="831"/>
      <c r="V116" s="831">
        <f>SUM(OVSEADAYSTART1:OVSEADAYEND1)</f>
        <v>0</v>
      </c>
      <c r="W116" s="841"/>
      <c r="Z116" s="387"/>
      <c r="AA116" s="7"/>
      <c r="AB116" s="7"/>
      <c r="AC116" s="7"/>
      <c r="AD116" s="7"/>
      <c r="AE116" s="7"/>
      <c r="AF116" s="7"/>
      <c r="AG116" s="7"/>
      <c r="AH116" s="7"/>
      <c r="AI116" s="7"/>
      <c r="AJ116" s="7"/>
      <c r="AK116" s="7"/>
      <c r="AL116" s="7"/>
      <c r="AM116" s="947">
        <f>ROUND(SUM(MMSTART2:MMEND2),2)</f>
        <v>0</v>
      </c>
      <c r="AN116" s="947"/>
      <c r="AO116" s="7"/>
      <c r="AP116" s="829">
        <f>SUM(WORKDAYSTART2:WORKDAYEND2)</f>
        <v>0</v>
      </c>
      <c r="AQ116" s="829"/>
      <c r="AR116" s="829">
        <f>SUM(OVSEADAYSTART2:OVSEADAYEND2)</f>
        <v>0</v>
      </c>
      <c r="AS116" s="830"/>
    </row>
    <row r="117" spans="2:56">
      <c r="D117" t="s">
        <v>217</v>
      </c>
      <c r="AS117" s="16" t="str">
        <f>IF(外注付託依頼書!$AI$86&lt;&gt;"",外注付託依頼書!$AI$86,"")</f>
        <v/>
      </c>
    </row>
    <row r="118" spans="2:56" ht="17.25">
      <c r="B118" s="129" t="s">
        <v>593</v>
      </c>
      <c r="C118" s="70"/>
      <c r="D118" s="71"/>
      <c r="E118" s="71"/>
      <c r="F118" s="71"/>
      <c r="G118" s="71"/>
      <c r="H118" s="71"/>
      <c r="I118" s="71"/>
      <c r="J118" s="71"/>
      <c r="K118" s="71"/>
      <c r="L118" s="71"/>
      <c r="M118" s="71"/>
      <c r="N118" s="71"/>
      <c r="O118" s="71"/>
    </row>
    <row r="119" spans="2:56">
      <c r="B119" s="904" t="s">
        <v>188</v>
      </c>
      <c r="C119" s="697"/>
      <c r="D119" s="697"/>
      <c r="E119" s="697"/>
      <c r="F119" s="697"/>
      <c r="G119" s="899"/>
      <c r="H119" s="904" t="s">
        <v>189</v>
      </c>
      <c r="I119" s="697"/>
      <c r="J119" s="697"/>
      <c r="K119" s="697"/>
      <c r="L119" s="697"/>
      <c r="M119" s="697"/>
      <c r="N119" s="697"/>
      <c r="O119" s="697"/>
      <c r="P119" s="697"/>
      <c r="Q119" s="697"/>
      <c r="R119" s="697"/>
      <c r="S119" s="697"/>
      <c r="T119" s="697"/>
      <c r="U119" s="697"/>
      <c r="V119" s="697"/>
      <c r="W119" s="697"/>
      <c r="X119" s="828"/>
      <c r="Y119" s="828"/>
      <c r="Z119" s="828"/>
      <c r="AA119" s="828"/>
      <c r="AB119" s="828"/>
      <c r="AC119" s="828"/>
      <c r="AD119" s="828"/>
      <c r="AE119" s="852"/>
      <c r="AJ119" s="231" t="s">
        <v>607</v>
      </c>
      <c r="BB119" s="73" t="s">
        <v>222</v>
      </c>
      <c r="BC119" s="74" t="s">
        <v>223</v>
      </c>
      <c r="BD119" s="74" t="s">
        <v>224</v>
      </c>
    </row>
    <row r="120" spans="2:56">
      <c r="B120" s="898" t="s">
        <v>190</v>
      </c>
      <c r="C120" s="697"/>
      <c r="D120" s="697"/>
      <c r="E120" s="697"/>
      <c r="F120" s="697"/>
      <c r="G120" s="899"/>
      <c r="H120" s="905"/>
      <c r="I120" s="906"/>
      <c r="J120" s="906"/>
      <c r="K120" s="906"/>
      <c r="L120" s="906"/>
      <c r="M120" s="906"/>
      <c r="N120" s="906"/>
      <c r="O120" s="906"/>
      <c r="P120" s="906"/>
      <c r="Q120" s="906"/>
      <c r="R120" s="906"/>
      <c r="S120" s="906"/>
      <c r="T120" s="906"/>
      <c r="U120" s="906"/>
      <c r="V120" s="906"/>
      <c r="W120" s="906"/>
      <c r="X120" s="907"/>
      <c r="Y120" s="907"/>
      <c r="Z120" s="907"/>
      <c r="AA120" s="907"/>
      <c r="AB120" s="907"/>
      <c r="AC120" s="907"/>
      <c r="AD120" s="907"/>
      <c r="AE120" s="908"/>
      <c r="AJ120" s="231" t="s">
        <v>610</v>
      </c>
      <c r="BB120" s="73" t="s">
        <v>225</v>
      </c>
      <c r="BC120" s="74" t="s">
        <v>226</v>
      </c>
      <c r="BD120" s="74" t="s">
        <v>227</v>
      </c>
    </row>
    <row r="121" spans="2:56">
      <c r="B121" s="898" t="s">
        <v>191</v>
      </c>
      <c r="C121" s="697"/>
      <c r="D121" s="697"/>
      <c r="E121" s="697"/>
      <c r="F121" s="697"/>
      <c r="G121" s="899"/>
      <c r="H121" s="909" t="s">
        <v>613</v>
      </c>
      <c r="I121" s="901"/>
      <c r="J121" s="901"/>
      <c r="K121" s="901"/>
      <c r="L121" s="901"/>
      <c r="M121" s="901"/>
      <c r="N121" s="901"/>
      <c r="O121" s="901"/>
      <c r="P121" s="901"/>
      <c r="Q121" s="901"/>
      <c r="R121" s="901"/>
      <c r="S121" s="906"/>
      <c r="T121" s="906"/>
      <c r="U121" s="906"/>
      <c r="V121" s="906"/>
      <c r="W121" s="906"/>
      <c r="X121" s="907"/>
      <c r="Y121" s="907"/>
      <c r="Z121" s="907"/>
      <c r="AA121" s="907"/>
      <c r="AB121" s="907"/>
      <c r="AC121" s="907"/>
      <c r="AD121" s="907"/>
      <c r="AE121" s="908"/>
      <c r="AJ121" s="213" t="s">
        <v>594</v>
      </c>
      <c r="BB121" s="74" t="s">
        <v>207</v>
      </c>
      <c r="BC121" s="74"/>
      <c r="BD121" s="74"/>
    </row>
    <row r="122" spans="2:56">
      <c r="B122" s="898" t="s">
        <v>192</v>
      </c>
      <c r="C122" s="697"/>
      <c r="D122" s="697"/>
      <c r="E122" s="697"/>
      <c r="F122" s="697"/>
      <c r="G122" s="899"/>
      <c r="H122" s="910"/>
      <c r="I122" s="906"/>
      <c r="J122" s="906"/>
      <c r="K122" s="906"/>
      <c r="L122" s="906"/>
      <c r="M122" s="906"/>
      <c r="N122" s="906"/>
      <c r="O122" s="906"/>
      <c r="P122" s="906"/>
      <c r="Q122" s="906"/>
      <c r="R122" s="906"/>
      <c r="S122" s="906"/>
      <c r="T122" s="906"/>
      <c r="U122" s="906"/>
      <c r="V122" s="906"/>
      <c r="W122" s="906"/>
      <c r="X122" s="907"/>
      <c r="Y122" s="907"/>
      <c r="Z122" s="907"/>
      <c r="AA122" s="907"/>
      <c r="AB122" s="907"/>
      <c r="AC122" s="907"/>
      <c r="AD122" s="907"/>
      <c r="AE122" s="908"/>
      <c r="AJ122" s="213" t="s">
        <v>595</v>
      </c>
      <c r="BB122" s="74" t="s">
        <v>228</v>
      </c>
      <c r="BC122" s="74"/>
      <c r="BD122" s="74"/>
    </row>
    <row r="123" spans="2:56">
      <c r="B123" s="898" t="s">
        <v>193</v>
      </c>
      <c r="C123" s="697"/>
      <c r="D123" s="697"/>
      <c r="E123" s="697"/>
      <c r="F123" s="697"/>
      <c r="G123" s="899"/>
      <c r="H123" s="909" t="s">
        <v>421</v>
      </c>
      <c r="I123" s="901"/>
      <c r="J123" s="901"/>
      <c r="K123" s="901"/>
      <c r="L123" s="901"/>
      <c r="M123" s="901"/>
      <c r="N123" s="901"/>
      <c r="O123" s="901"/>
      <c r="P123" s="901"/>
      <c r="Q123" s="901"/>
      <c r="R123" s="901"/>
      <c r="S123" s="901"/>
      <c r="T123" s="901"/>
      <c r="U123" s="901"/>
      <c r="V123" s="901"/>
      <c r="W123" s="901"/>
      <c r="X123" s="902"/>
      <c r="Y123" s="902"/>
      <c r="Z123" s="902"/>
      <c r="AA123" s="902"/>
      <c r="AB123" s="902"/>
      <c r="AC123" s="902"/>
      <c r="AD123" s="902"/>
      <c r="AE123" s="903"/>
      <c r="AJ123" s="213" t="s">
        <v>596</v>
      </c>
      <c r="BB123" s="74" t="s">
        <v>229</v>
      </c>
      <c r="BC123" s="74"/>
      <c r="BD123" s="74"/>
    </row>
    <row r="124" spans="2:56">
      <c r="B124" s="898" t="s">
        <v>194</v>
      </c>
      <c r="C124" s="697"/>
      <c r="D124" s="697"/>
      <c r="E124" s="697"/>
      <c r="F124" s="697"/>
      <c r="G124" s="899"/>
      <c r="H124" s="909" t="s">
        <v>70</v>
      </c>
      <c r="I124" s="901"/>
      <c r="J124" s="901"/>
      <c r="K124" s="901"/>
      <c r="L124" s="901"/>
      <c r="M124" s="901"/>
      <c r="N124" s="901"/>
      <c r="O124" s="901"/>
      <c r="P124" s="901"/>
      <c r="Q124" s="901"/>
      <c r="R124" s="901"/>
      <c r="S124" s="901"/>
      <c r="T124" s="901"/>
      <c r="U124" s="901"/>
      <c r="V124" s="901"/>
      <c r="W124" s="901"/>
      <c r="X124" s="902"/>
      <c r="Y124" s="902"/>
      <c r="Z124" s="902"/>
      <c r="AA124" s="902"/>
      <c r="AB124" s="902"/>
      <c r="AC124" s="902"/>
      <c r="AD124" s="902"/>
      <c r="AE124" s="903"/>
      <c r="AJ124" s="213" t="s">
        <v>597</v>
      </c>
      <c r="BB124" s="74" t="s">
        <v>230</v>
      </c>
      <c r="BC124" s="74"/>
      <c r="BD124" s="74"/>
    </row>
    <row r="125" spans="2:56">
      <c r="B125" s="898" t="s">
        <v>195</v>
      </c>
      <c r="C125" s="697"/>
      <c r="D125" s="697"/>
      <c r="E125" s="697"/>
      <c r="F125" s="697"/>
      <c r="G125" s="899"/>
      <c r="H125" s="909"/>
      <c r="I125" s="901"/>
      <c r="J125" s="901"/>
      <c r="K125" s="901"/>
      <c r="L125" s="901"/>
      <c r="M125" s="901"/>
      <c r="N125" s="901"/>
      <c r="O125" s="901"/>
      <c r="P125" s="901"/>
      <c r="Q125" s="901"/>
      <c r="R125" s="901"/>
      <c r="S125" s="901"/>
      <c r="T125" s="901"/>
      <c r="U125" s="901"/>
      <c r="V125" s="901"/>
      <c r="W125" s="901"/>
      <c r="X125" s="902"/>
      <c r="Y125" s="902"/>
      <c r="Z125" s="902"/>
      <c r="AA125" s="902"/>
      <c r="AB125" s="902"/>
      <c r="AC125" s="902"/>
      <c r="AD125" s="902"/>
      <c r="AE125" s="903"/>
      <c r="AJ125" s="213" t="s">
        <v>598</v>
      </c>
    </row>
    <row r="126" spans="2:56">
      <c r="B126" s="898" t="s">
        <v>196</v>
      </c>
      <c r="C126" s="697"/>
      <c r="D126" s="697"/>
      <c r="E126" s="697"/>
      <c r="F126" s="697"/>
      <c r="G126" s="899"/>
      <c r="H126" s="900" t="s">
        <v>420</v>
      </c>
      <c r="I126" s="901"/>
      <c r="J126" s="901"/>
      <c r="K126" s="901"/>
      <c r="L126" s="901"/>
      <c r="M126" s="901"/>
      <c r="N126" s="901"/>
      <c r="O126" s="901"/>
      <c r="P126" s="901"/>
      <c r="Q126" s="901"/>
      <c r="R126" s="901"/>
      <c r="S126" s="901"/>
      <c r="T126" s="901"/>
      <c r="U126" s="901"/>
      <c r="V126" s="901"/>
      <c r="W126" s="901"/>
      <c r="X126" s="902"/>
      <c r="Y126" s="902"/>
      <c r="Z126" s="902"/>
      <c r="AA126" s="902"/>
      <c r="AB126" s="902"/>
      <c r="AC126" s="902"/>
      <c r="AD126" s="902"/>
      <c r="AE126" s="903"/>
      <c r="AJ126" s="213" t="s">
        <v>599</v>
      </c>
      <c r="BC126" t="s">
        <v>707</v>
      </c>
      <c r="BD126" t="s">
        <v>703</v>
      </c>
    </row>
    <row r="127" spans="2:56">
      <c r="B127" s="898" t="s">
        <v>197</v>
      </c>
      <c r="C127" s="697"/>
      <c r="D127" s="697"/>
      <c r="E127" s="697"/>
      <c r="F127" s="697"/>
      <c r="G127" s="899"/>
      <c r="H127" s="900" t="s">
        <v>420</v>
      </c>
      <c r="I127" s="901"/>
      <c r="J127" s="901"/>
      <c r="K127" s="901"/>
      <c r="L127" s="901"/>
      <c r="M127" s="901"/>
      <c r="N127" s="901"/>
      <c r="O127" s="901"/>
      <c r="P127" s="901"/>
      <c r="Q127" s="901"/>
      <c r="R127" s="901"/>
      <c r="S127" s="901"/>
      <c r="T127" s="901"/>
      <c r="U127" s="901"/>
      <c r="V127" s="901"/>
      <c r="W127" s="901"/>
      <c r="X127" s="902"/>
      <c r="Y127" s="902"/>
      <c r="Z127" s="902"/>
      <c r="AA127" s="902"/>
      <c r="AB127" s="902"/>
      <c r="AC127" s="902"/>
      <c r="AD127" s="902"/>
      <c r="AE127" s="903"/>
      <c r="AJ127" s="213" t="s">
        <v>600</v>
      </c>
      <c r="BB127" s="139">
        <v>1</v>
      </c>
      <c r="BC127" s="401"/>
      <c r="BD127" s="400"/>
    </row>
    <row r="128" spans="2:56">
      <c r="B128" s="898" t="s">
        <v>198</v>
      </c>
      <c r="C128" s="697"/>
      <c r="D128" s="697"/>
      <c r="E128" s="697"/>
      <c r="F128" s="697"/>
      <c r="G128" s="899"/>
      <c r="H128" s="900" t="s">
        <v>420</v>
      </c>
      <c r="I128" s="901"/>
      <c r="J128" s="901"/>
      <c r="K128" s="901"/>
      <c r="L128" s="901"/>
      <c r="M128" s="901"/>
      <c r="N128" s="901"/>
      <c r="O128" s="901"/>
      <c r="P128" s="901"/>
      <c r="Q128" s="901"/>
      <c r="R128" s="901"/>
      <c r="S128" s="901"/>
      <c r="T128" s="901"/>
      <c r="U128" s="901"/>
      <c r="V128" s="901"/>
      <c r="W128" s="901"/>
      <c r="X128" s="902"/>
      <c r="Y128" s="902"/>
      <c r="Z128" s="902"/>
      <c r="AA128" s="902"/>
      <c r="AB128" s="902"/>
      <c r="AC128" s="902"/>
      <c r="AD128" s="902"/>
      <c r="AE128" s="903"/>
      <c r="AJ128" s="231" t="s">
        <v>601</v>
      </c>
      <c r="BB128" s="398"/>
      <c r="BC128" s="401"/>
      <c r="BD128" s="400"/>
    </row>
    <row r="129" spans="2:56">
      <c r="B129" s="898" t="s">
        <v>199</v>
      </c>
      <c r="C129" s="697"/>
      <c r="D129" s="697"/>
      <c r="E129" s="697"/>
      <c r="F129" s="697"/>
      <c r="G129" s="899"/>
      <c r="H129" s="900" t="s">
        <v>420</v>
      </c>
      <c r="I129" s="901"/>
      <c r="J129" s="901"/>
      <c r="K129" s="901"/>
      <c r="L129" s="901"/>
      <c r="M129" s="901"/>
      <c r="N129" s="901"/>
      <c r="O129" s="901"/>
      <c r="P129" s="901"/>
      <c r="Q129" s="901"/>
      <c r="R129" s="901"/>
      <c r="S129" s="901"/>
      <c r="T129" s="901"/>
      <c r="U129" s="901"/>
      <c r="V129" s="901"/>
      <c r="W129" s="901"/>
      <c r="X129" s="902"/>
      <c r="Y129" s="902"/>
      <c r="Z129" s="902"/>
      <c r="AA129" s="902"/>
      <c r="AB129" s="902"/>
      <c r="AC129" s="902"/>
      <c r="AD129" s="902"/>
      <c r="AE129" s="903"/>
      <c r="AJ129" s="231" t="s">
        <v>602</v>
      </c>
      <c r="BB129" s="139"/>
      <c r="BC129" s="401"/>
      <c r="BD129" s="400"/>
    </row>
    <row r="130" spans="2:56">
      <c r="B130" s="912" t="s">
        <v>200</v>
      </c>
      <c r="C130" s="913"/>
      <c r="D130" s="913"/>
      <c r="E130" s="913"/>
      <c r="F130" s="913"/>
      <c r="G130" s="914"/>
      <c r="H130" s="909"/>
      <c r="I130" s="901"/>
      <c r="J130" s="901"/>
      <c r="K130" s="901"/>
      <c r="L130" s="901"/>
      <c r="M130" s="901"/>
      <c r="N130" s="901"/>
      <c r="O130" s="901"/>
      <c r="P130" s="901"/>
      <c r="Q130" s="901"/>
      <c r="R130" s="901"/>
      <c r="S130" s="901"/>
      <c r="T130" s="901"/>
      <c r="U130" s="901"/>
      <c r="V130" s="901"/>
      <c r="W130" s="901"/>
      <c r="X130" s="902"/>
      <c r="Y130" s="902"/>
      <c r="Z130" s="902"/>
      <c r="AA130" s="902"/>
      <c r="AB130" s="902"/>
      <c r="AC130" s="902"/>
      <c r="AD130" s="902"/>
      <c r="AE130" s="903"/>
      <c r="AJ130" s="231" t="s">
        <v>603</v>
      </c>
      <c r="BB130" s="140"/>
    </row>
    <row r="131" spans="2:56" ht="13.5" customHeight="1">
      <c r="B131" s="915"/>
      <c r="C131" s="916"/>
      <c r="D131" s="916"/>
      <c r="E131" s="916"/>
      <c r="F131" s="916"/>
      <c r="G131" s="917"/>
      <c r="H131" s="900"/>
      <c r="I131" s="901"/>
      <c r="J131" s="901"/>
      <c r="K131" s="901"/>
      <c r="L131" s="901"/>
      <c r="M131" s="901"/>
      <c r="N131" s="901"/>
      <c r="O131" s="901"/>
      <c r="P131" s="901"/>
      <c r="Q131" s="901"/>
      <c r="R131" s="901"/>
      <c r="S131" s="901"/>
      <c r="T131" s="901"/>
      <c r="U131" s="901"/>
      <c r="V131" s="901"/>
      <c r="W131" s="901"/>
      <c r="X131" s="902"/>
      <c r="Y131" s="902"/>
      <c r="Z131" s="902"/>
      <c r="AA131" s="902"/>
      <c r="AB131" s="902"/>
      <c r="AC131" s="902"/>
      <c r="AD131" s="902"/>
      <c r="AE131" s="903"/>
      <c r="AJ131" s="231" t="s">
        <v>604</v>
      </c>
    </row>
    <row r="132" spans="2:56" ht="13.5" customHeight="1">
      <c r="B132" s="915"/>
      <c r="C132" s="916"/>
      <c r="D132" s="916"/>
      <c r="E132" s="916"/>
      <c r="F132" s="916"/>
      <c r="G132" s="917"/>
      <c r="H132" s="900"/>
      <c r="I132" s="901"/>
      <c r="J132" s="901"/>
      <c r="K132" s="901"/>
      <c r="L132" s="901"/>
      <c r="M132" s="901"/>
      <c r="N132" s="901"/>
      <c r="O132" s="901"/>
      <c r="P132" s="901"/>
      <c r="Q132" s="901"/>
      <c r="R132" s="901"/>
      <c r="S132" s="901"/>
      <c r="T132" s="901"/>
      <c r="U132" s="901"/>
      <c r="V132" s="901"/>
      <c r="W132" s="901"/>
      <c r="X132" s="902"/>
      <c r="Y132" s="902"/>
      <c r="Z132" s="902"/>
      <c r="AA132" s="902"/>
      <c r="AB132" s="902"/>
      <c r="AC132" s="902"/>
      <c r="AD132" s="902"/>
      <c r="AE132" s="903"/>
      <c r="AJ132" s="231" t="s">
        <v>605</v>
      </c>
    </row>
    <row r="133" spans="2:56" ht="13.5" customHeight="1">
      <c r="B133" s="918"/>
      <c r="C133" s="696"/>
      <c r="D133" s="696"/>
      <c r="E133" s="696"/>
      <c r="F133" s="696"/>
      <c r="G133" s="919"/>
      <c r="H133" s="900"/>
      <c r="I133" s="901"/>
      <c r="J133" s="901"/>
      <c r="K133" s="901"/>
      <c r="L133" s="901"/>
      <c r="M133" s="901"/>
      <c r="N133" s="901"/>
      <c r="O133" s="901"/>
      <c r="P133" s="901"/>
      <c r="Q133" s="901"/>
      <c r="R133" s="901"/>
      <c r="S133" s="901"/>
      <c r="T133" s="901"/>
      <c r="U133" s="901"/>
      <c r="V133" s="901"/>
      <c r="W133" s="901"/>
      <c r="X133" s="902"/>
      <c r="Y133" s="902"/>
      <c r="Z133" s="902"/>
      <c r="AA133" s="902"/>
      <c r="AB133" s="902"/>
      <c r="AC133" s="902"/>
      <c r="AD133" s="902"/>
      <c r="AE133" s="903"/>
      <c r="AJ133" s="231" t="s">
        <v>606</v>
      </c>
    </row>
    <row r="134" spans="2:56">
      <c r="B134" s="898" t="s">
        <v>233</v>
      </c>
      <c r="C134" s="697"/>
      <c r="D134" s="697"/>
      <c r="E134" s="697"/>
      <c r="F134" s="697"/>
      <c r="G134" s="899"/>
      <c r="H134" s="953">
        <f>変更合計</f>
        <v>0</v>
      </c>
      <c r="I134" s="954"/>
      <c r="J134" s="954"/>
      <c r="K134" s="954"/>
      <c r="L134" s="954"/>
      <c r="M134" s="954"/>
      <c r="N134" s="954"/>
      <c r="O134" s="954"/>
      <c r="P134" s="954"/>
      <c r="Q134" s="954"/>
      <c r="R134" s="954"/>
      <c r="S134" s="954"/>
      <c r="T134" s="954"/>
      <c r="U134" s="954"/>
      <c r="V134" s="954"/>
      <c r="W134" s="954"/>
      <c r="X134" s="955"/>
      <c r="Y134" s="955"/>
      <c r="Z134" s="955"/>
      <c r="AA134" s="955"/>
      <c r="AB134" s="955"/>
      <c r="AC134" s="955"/>
      <c r="AD134" s="955"/>
      <c r="AE134" s="956"/>
      <c r="AJ134" s="231" t="s">
        <v>608</v>
      </c>
    </row>
    <row r="135" spans="2:56" ht="13.5" customHeight="1">
      <c r="B135" s="77"/>
      <c r="C135" s="78"/>
      <c r="D135" s="78"/>
      <c r="E135" s="78"/>
      <c r="F135" s="78"/>
      <c r="G135" s="78"/>
      <c r="H135" s="79"/>
      <c r="I135" s="79"/>
      <c r="J135" s="79"/>
      <c r="K135" s="79"/>
      <c r="L135" s="79"/>
      <c r="M135" s="79"/>
      <c r="N135" s="79"/>
      <c r="O135" s="79"/>
      <c r="P135" s="79"/>
      <c r="Q135" s="79"/>
      <c r="R135" s="79"/>
      <c r="S135" s="79"/>
      <c r="T135" s="79"/>
      <c r="U135" s="79"/>
      <c r="V135" s="79"/>
      <c r="W135" s="79"/>
      <c r="AJ135" s="231" t="s">
        <v>609</v>
      </c>
    </row>
    <row r="136" spans="2:56">
      <c r="AJ136" s="231" t="s">
        <v>611</v>
      </c>
    </row>
    <row r="137" spans="2:56" ht="17.25">
      <c r="C137" s="70"/>
      <c r="D137" s="70"/>
      <c r="E137" s="71"/>
      <c r="F137" s="71"/>
      <c r="G137" s="71"/>
      <c r="H137" s="71"/>
      <c r="I137" s="71"/>
      <c r="J137" s="71"/>
      <c r="K137" s="71"/>
      <c r="L137" s="71"/>
      <c r="M137" s="71"/>
      <c r="N137" s="71"/>
      <c r="O137" s="71"/>
      <c r="P137" s="71"/>
      <c r="AJ137" s="231" t="s">
        <v>612</v>
      </c>
    </row>
    <row r="138" spans="2:56" ht="17.25">
      <c r="C138" s="70"/>
      <c r="G138" s="71"/>
      <c r="H138" s="71"/>
    </row>
    <row r="139" spans="2:56" ht="17.25">
      <c r="C139" s="70"/>
      <c r="G139" s="71"/>
      <c r="H139" s="71"/>
    </row>
    <row r="140" spans="2:56" ht="17.25">
      <c r="C140" s="71"/>
      <c r="G140" s="71"/>
      <c r="H140" s="71"/>
      <c r="AJ140" s="255"/>
    </row>
    <row r="141" spans="2:56" ht="17.25">
      <c r="C141" s="71"/>
      <c r="G141" s="71"/>
      <c r="H141" s="71"/>
    </row>
    <row r="144" spans="2:56">
      <c r="B144" s="928" t="s">
        <v>244</v>
      </c>
      <c r="C144" s="928"/>
      <c r="D144" s="928"/>
      <c r="E144" s="928"/>
      <c r="F144" s="928"/>
      <c r="G144" s="928"/>
      <c r="H144" s="928"/>
      <c r="I144" s="928"/>
      <c r="J144" s="928"/>
      <c r="K144" s="928"/>
      <c r="L144" s="928"/>
      <c r="M144" s="928"/>
      <c r="N144" s="928"/>
      <c r="O144" s="928"/>
      <c r="P144" s="928"/>
      <c r="Q144" s="928"/>
      <c r="R144" s="928"/>
      <c r="S144" s="928"/>
      <c r="T144" s="928"/>
      <c r="U144" s="928"/>
      <c r="V144" s="928"/>
      <c r="W144" s="928"/>
      <c r="X144" s="927"/>
      <c r="Y144" s="927"/>
      <c r="Z144" s="927"/>
      <c r="AA144" s="927"/>
      <c r="AB144" s="927"/>
      <c r="AC144" s="927"/>
      <c r="AD144" s="927"/>
      <c r="AE144" s="927"/>
    </row>
    <row r="145" spans="2:31">
      <c r="B145" s="920" t="s">
        <v>245</v>
      </c>
      <c r="C145" s="920"/>
      <c r="D145" s="920"/>
      <c r="E145" s="920"/>
      <c r="F145" s="920"/>
      <c r="G145" s="920"/>
      <c r="H145" s="942" t="str">
        <f>IF(依頼担当者Code="","",依頼担当者Code&amp;"@n-koei.co.jp")</f>
        <v/>
      </c>
      <c r="I145" s="942"/>
      <c r="J145" s="942"/>
      <c r="K145" s="942"/>
      <c r="L145" s="942"/>
      <c r="M145" s="942"/>
      <c r="N145" s="942"/>
      <c r="O145" s="942"/>
      <c r="P145" s="942"/>
      <c r="Q145" s="942"/>
      <c r="R145" s="942"/>
      <c r="S145" s="942"/>
      <c r="T145" s="942"/>
      <c r="U145" s="942"/>
      <c r="V145" s="942"/>
      <c r="W145" s="942"/>
      <c r="X145" s="925"/>
      <c r="Y145" s="925"/>
      <c r="Z145" s="925"/>
      <c r="AA145" s="925"/>
      <c r="AB145" s="925"/>
      <c r="AC145" s="925"/>
      <c r="AD145" s="925"/>
      <c r="AE145" s="925"/>
    </row>
    <row r="146" spans="2:31">
      <c r="B146" s="920" t="s">
        <v>246</v>
      </c>
      <c r="C146" s="920"/>
      <c r="D146" s="920"/>
      <c r="E146" s="920"/>
      <c r="F146" s="920"/>
      <c r="G146" s="920"/>
      <c r="H146" s="942" t="str">
        <f>"【発注情報確認のお知らせ】（依頼番号："&amp;依頼番号&amp;"）"</f>
        <v>【発注情報確認のお知らせ】（依頼番号：JA1600301）</v>
      </c>
      <c r="I146" s="942"/>
      <c r="J146" s="942"/>
      <c r="K146" s="942"/>
      <c r="L146" s="942"/>
      <c r="M146" s="942"/>
      <c r="N146" s="942"/>
      <c r="O146" s="942"/>
      <c r="P146" s="942"/>
      <c r="Q146" s="942"/>
      <c r="R146" s="942"/>
      <c r="S146" s="942"/>
      <c r="T146" s="942"/>
      <c r="U146" s="942"/>
      <c r="V146" s="942"/>
      <c r="W146" s="942"/>
      <c r="X146" s="925"/>
      <c r="Y146" s="925"/>
      <c r="Z146" s="925"/>
      <c r="AA146" s="925"/>
      <c r="AB146" s="925"/>
      <c r="AC146" s="925"/>
      <c r="AD146" s="925"/>
      <c r="AE146" s="925"/>
    </row>
    <row r="147" spans="2:31">
      <c r="B147" s="920" t="s">
        <v>632</v>
      </c>
      <c r="C147" s="920"/>
      <c r="D147" s="920"/>
      <c r="E147" s="920"/>
      <c r="F147" s="920"/>
      <c r="G147" s="922"/>
      <c r="H147" s="921"/>
      <c r="I147" s="921"/>
      <c r="J147" s="921"/>
      <c r="K147" s="921"/>
      <c r="L147" s="921"/>
      <c r="M147" s="921"/>
      <c r="N147" s="921"/>
      <c r="O147" s="921"/>
      <c r="P147" s="921"/>
      <c r="Q147" s="921"/>
      <c r="R147" s="921"/>
      <c r="S147" s="921"/>
      <c r="T147" s="921"/>
      <c r="U147" s="921"/>
      <c r="V147" s="921"/>
      <c r="W147" s="921"/>
      <c r="X147" s="921"/>
      <c r="Y147" s="921"/>
      <c r="Z147" s="946"/>
      <c r="AA147" s="946"/>
      <c r="AB147" s="946"/>
      <c r="AC147" s="946"/>
      <c r="AD147" s="946"/>
      <c r="AE147" s="946"/>
    </row>
    <row r="148" spans="2:31">
      <c r="B148" s="920" t="s">
        <v>247</v>
      </c>
      <c r="C148" s="920"/>
      <c r="D148" s="920"/>
      <c r="E148" s="920"/>
      <c r="F148" s="920"/>
      <c r="G148" s="920"/>
      <c r="H148" s="943"/>
      <c r="I148" s="944"/>
      <c r="J148" s="944"/>
      <c r="K148" s="944"/>
      <c r="L148" s="944"/>
      <c r="M148" s="944"/>
      <c r="N148" s="944"/>
      <c r="O148" s="944"/>
      <c r="P148" s="944"/>
      <c r="Q148" s="944"/>
      <c r="R148" s="944"/>
      <c r="S148" s="944"/>
      <c r="T148" s="944"/>
      <c r="U148" s="944"/>
      <c r="V148" s="944"/>
      <c r="W148" s="944"/>
      <c r="X148" s="927"/>
      <c r="Y148" s="927"/>
      <c r="Z148" s="927"/>
      <c r="AA148" s="927"/>
      <c r="AB148" s="927"/>
      <c r="AC148" s="927"/>
      <c r="AD148" s="927"/>
      <c r="AE148" s="927"/>
    </row>
    <row r="149" spans="2:31">
      <c r="B149" s="920" t="s">
        <v>248</v>
      </c>
      <c r="C149" s="920"/>
      <c r="D149" s="920"/>
      <c r="E149" s="920"/>
      <c r="F149" s="920"/>
      <c r="G149" s="920"/>
      <c r="H149" s="942" t="s">
        <v>249</v>
      </c>
      <c r="I149" s="942"/>
      <c r="J149" s="942"/>
      <c r="K149" s="942"/>
      <c r="L149" s="942"/>
      <c r="M149" s="942"/>
      <c r="N149" s="942"/>
      <c r="O149" s="942"/>
      <c r="P149" s="942"/>
      <c r="Q149" s="942"/>
      <c r="R149" s="942"/>
      <c r="S149" s="942"/>
      <c r="T149" s="942"/>
      <c r="U149" s="942"/>
      <c r="V149" s="942"/>
      <c r="W149" s="942"/>
      <c r="X149" s="925"/>
      <c r="Y149" s="925"/>
      <c r="Z149" s="925"/>
      <c r="AA149" s="925"/>
      <c r="AB149" s="925"/>
      <c r="AC149" s="925"/>
      <c r="AD149" s="925"/>
      <c r="AE149" s="925"/>
    </row>
    <row r="150" spans="2:31">
      <c r="B150" s="920"/>
      <c r="C150" s="920"/>
      <c r="D150" s="920"/>
      <c r="E150" s="920"/>
      <c r="F150" s="920"/>
      <c r="G150" s="920"/>
      <c r="H150" s="929" t="s">
        <v>250</v>
      </c>
      <c r="I150" s="929"/>
      <c r="J150" s="929"/>
      <c r="K150" s="929"/>
      <c r="L150" s="927"/>
      <c r="M150" s="927"/>
      <c r="N150" s="927"/>
      <c r="O150" s="927"/>
      <c r="P150" s="926" t="str">
        <f>依頼番号</f>
        <v>JA1600301</v>
      </c>
      <c r="Q150" s="927"/>
      <c r="R150" s="927"/>
      <c r="S150" s="927"/>
      <c r="T150" s="927"/>
      <c r="U150" s="927"/>
      <c r="V150" s="927"/>
      <c r="W150" s="927"/>
      <c r="X150" s="927"/>
      <c r="Y150" s="927"/>
      <c r="Z150" s="927"/>
      <c r="AA150" s="927"/>
      <c r="AB150" s="927"/>
      <c r="AC150" s="927"/>
      <c r="AD150" s="927"/>
      <c r="AE150" s="927"/>
    </row>
    <row r="151" spans="2:31">
      <c r="B151" s="920"/>
      <c r="C151" s="920"/>
      <c r="D151" s="920"/>
      <c r="E151" s="920"/>
      <c r="F151" s="920"/>
      <c r="G151" s="920"/>
      <c r="H151" s="929" t="s">
        <v>246</v>
      </c>
      <c r="I151" s="929">
        <f>件名</f>
        <v>0</v>
      </c>
      <c r="J151" s="929"/>
      <c r="K151" s="929"/>
      <c r="L151" s="927"/>
      <c r="M151" s="927"/>
      <c r="N151" s="927"/>
      <c r="O151" s="927"/>
      <c r="P151" s="924">
        <f>作業件名</f>
        <v>0</v>
      </c>
      <c r="Q151" s="925"/>
      <c r="R151" s="925"/>
      <c r="S151" s="925"/>
      <c r="T151" s="925"/>
      <c r="U151" s="925"/>
      <c r="V151" s="925"/>
      <c r="W151" s="925"/>
      <c r="X151" s="925"/>
      <c r="Y151" s="925"/>
      <c r="Z151" s="925"/>
      <c r="AA151" s="925"/>
      <c r="AB151" s="925"/>
      <c r="AC151" s="925"/>
      <c r="AD151" s="925"/>
      <c r="AE151" s="925"/>
    </row>
    <row r="152" spans="2:31">
      <c r="B152" s="920"/>
      <c r="C152" s="920"/>
      <c r="D152" s="920"/>
      <c r="E152" s="920"/>
      <c r="F152" s="920"/>
      <c r="G152" s="920"/>
      <c r="H152" s="929" t="s">
        <v>82</v>
      </c>
      <c r="I152" s="929">
        <f>作業Code</f>
        <v>0</v>
      </c>
      <c r="J152" s="929"/>
      <c r="K152" s="929"/>
      <c r="L152" s="927"/>
      <c r="M152" s="927"/>
      <c r="N152" s="927"/>
      <c r="O152" s="927"/>
      <c r="P152" s="924">
        <f>D24</f>
        <v>0</v>
      </c>
      <c r="Q152" s="925"/>
      <c r="R152" s="925"/>
      <c r="S152" s="925"/>
      <c r="T152" s="925"/>
      <c r="U152" s="925"/>
      <c r="V152" s="925"/>
      <c r="W152" s="925"/>
      <c r="X152" s="925"/>
      <c r="Y152" s="925"/>
      <c r="Z152" s="925"/>
      <c r="AA152" s="925"/>
      <c r="AB152" s="925"/>
      <c r="AC152" s="925"/>
      <c r="AD152" s="925"/>
      <c r="AE152" s="925"/>
    </row>
    <row r="153" spans="2:31">
      <c r="B153" s="920"/>
      <c r="C153" s="920"/>
      <c r="D153" s="920"/>
      <c r="E153" s="920"/>
      <c r="F153" s="920"/>
      <c r="G153" s="920"/>
      <c r="H153" s="929" t="s">
        <v>251</v>
      </c>
      <c r="I153" s="929"/>
      <c r="J153" s="929"/>
      <c r="K153" s="929"/>
      <c r="L153" s="927"/>
      <c r="M153" s="927"/>
      <c r="N153" s="927"/>
      <c r="O153" s="927"/>
      <c r="P153" s="924"/>
      <c r="Q153" s="925"/>
      <c r="R153" s="925"/>
      <c r="S153" s="925"/>
      <c r="T153" s="925"/>
      <c r="U153" s="925"/>
      <c r="V153" s="925"/>
      <c r="W153" s="925"/>
      <c r="X153" s="925"/>
      <c r="Y153" s="925"/>
      <c r="Z153" s="925"/>
      <c r="AA153" s="925"/>
      <c r="AB153" s="925"/>
      <c r="AC153" s="925"/>
      <c r="AD153" s="925"/>
      <c r="AE153" s="925"/>
    </row>
    <row r="154" spans="2:31">
      <c r="B154" s="920"/>
      <c r="C154" s="920"/>
      <c r="D154" s="920"/>
      <c r="E154" s="920"/>
      <c r="F154" s="920"/>
      <c r="G154" s="920"/>
      <c r="H154" s="929" t="s">
        <v>252</v>
      </c>
      <c r="I154" s="929"/>
      <c r="J154" s="929"/>
      <c r="K154" s="929"/>
      <c r="L154" s="927"/>
      <c r="M154" s="927"/>
      <c r="N154" s="927"/>
      <c r="O154" s="927"/>
      <c r="P154" s="924"/>
      <c r="Q154" s="925"/>
      <c r="R154" s="925"/>
      <c r="S154" s="925"/>
      <c r="T154" s="925"/>
      <c r="U154" s="925"/>
      <c r="V154" s="925"/>
      <c r="W154" s="925"/>
      <c r="X154" s="925"/>
      <c r="Y154" s="925"/>
      <c r="Z154" s="925"/>
      <c r="AA154" s="925"/>
      <c r="AB154" s="925"/>
      <c r="AC154" s="925"/>
      <c r="AD154" s="925"/>
      <c r="AE154" s="925"/>
    </row>
    <row r="155" spans="2:31">
      <c r="B155" s="920"/>
      <c r="C155" s="920"/>
      <c r="D155" s="920"/>
      <c r="E155" s="920"/>
      <c r="F155" s="920"/>
      <c r="G155" s="920"/>
      <c r="H155" s="929" t="s">
        <v>621</v>
      </c>
      <c r="I155" s="929"/>
      <c r="J155" s="929"/>
      <c r="K155" s="929"/>
      <c r="L155" s="927"/>
      <c r="M155" s="927"/>
      <c r="N155" s="927"/>
      <c r="O155" s="927"/>
      <c r="P155" s="924"/>
      <c r="Q155" s="925"/>
      <c r="R155" s="925"/>
      <c r="S155" s="925"/>
      <c r="T155" s="925"/>
      <c r="U155" s="925"/>
      <c r="V155" s="925"/>
      <c r="W155" s="925"/>
      <c r="X155" s="925"/>
      <c r="Y155" s="925"/>
      <c r="Z155" s="925"/>
      <c r="AA155" s="925"/>
      <c r="AB155" s="925"/>
      <c r="AC155" s="925"/>
      <c r="AD155" s="925"/>
      <c r="AE155" s="925"/>
    </row>
    <row r="156" spans="2:31">
      <c r="B156" s="920"/>
      <c r="C156" s="920"/>
      <c r="D156" s="920"/>
      <c r="E156" s="920"/>
      <c r="F156" s="920"/>
      <c r="G156" s="920"/>
      <c r="H156" s="929" t="s">
        <v>253</v>
      </c>
      <c r="I156" s="929">
        <f>仕入先名称</f>
        <v>0</v>
      </c>
      <c r="J156" s="929"/>
      <c r="K156" s="929"/>
      <c r="L156" s="927"/>
      <c r="M156" s="927"/>
      <c r="N156" s="927"/>
      <c r="O156" s="927"/>
      <c r="P156" s="924" t="str">
        <f>[0]!ContractorName &amp; IF([0]!DispatchPersonName="","","(" &amp; [0]!DispatchPersonName &amp; ")")</f>
        <v>有限責任事業組合インフラ・アセット・エンジニアリング(田中　健治)</v>
      </c>
      <c r="Q156" s="925"/>
      <c r="R156" s="925"/>
      <c r="S156" s="925"/>
      <c r="T156" s="925"/>
      <c r="U156" s="925"/>
      <c r="V156" s="925"/>
      <c r="W156" s="925"/>
      <c r="X156" s="925"/>
      <c r="Y156" s="925"/>
      <c r="Z156" s="925"/>
      <c r="AA156" s="925"/>
      <c r="AB156" s="925"/>
      <c r="AC156" s="925"/>
      <c r="AD156" s="925"/>
      <c r="AE156" s="925"/>
    </row>
    <row r="157" spans="2:31">
      <c r="B157" s="920"/>
      <c r="C157" s="920"/>
      <c r="D157" s="920"/>
      <c r="E157" s="920"/>
      <c r="F157" s="920"/>
      <c r="G157" s="920"/>
      <c r="H157" s="930" t="str">
        <f>"期間変更依頼書を作成する場合は、必ずサーバー保存されたファイルを使用してください。
ファイル保存先：" &amp; 外注付託依頼書!AI86</f>
        <v>期間変更依頼書を作成する場合は、必ずサーバー保存されたファイルを使用してください。
ファイル保存先：</v>
      </c>
      <c r="I157" s="931"/>
      <c r="J157" s="931"/>
      <c r="K157" s="931"/>
      <c r="L157" s="931"/>
      <c r="M157" s="931"/>
      <c r="N157" s="931"/>
      <c r="O157" s="931"/>
      <c r="P157" s="931"/>
      <c r="Q157" s="931"/>
      <c r="R157" s="931"/>
      <c r="S157" s="931"/>
      <c r="T157" s="931"/>
      <c r="U157" s="931"/>
      <c r="V157" s="931"/>
      <c r="W157" s="931"/>
      <c r="X157" s="932"/>
      <c r="Y157" s="932"/>
      <c r="Z157" s="932"/>
      <c r="AA157" s="932"/>
      <c r="AB157" s="932"/>
      <c r="AC157" s="932"/>
      <c r="AD157" s="932"/>
      <c r="AE157" s="933"/>
    </row>
    <row r="158" spans="2:31">
      <c r="B158" s="920"/>
      <c r="C158" s="920"/>
      <c r="D158" s="920"/>
      <c r="E158" s="920"/>
      <c r="F158" s="920"/>
      <c r="G158" s="920"/>
      <c r="H158" s="934"/>
      <c r="I158" s="935"/>
      <c r="J158" s="935"/>
      <c r="K158" s="935"/>
      <c r="L158" s="935"/>
      <c r="M158" s="935"/>
      <c r="N158" s="935"/>
      <c r="O158" s="935"/>
      <c r="P158" s="935"/>
      <c r="Q158" s="935"/>
      <c r="R158" s="935"/>
      <c r="S158" s="935"/>
      <c r="T158" s="935"/>
      <c r="U158" s="935"/>
      <c r="V158" s="935"/>
      <c r="W158" s="935"/>
      <c r="X158" s="936"/>
      <c r="Y158" s="936"/>
      <c r="Z158" s="936"/>
      <c r="AA158" s="936"/>
      <c r="AB158" s="936"/>
      <c r="AC158" s="936"/>
      <c r="AD158" s="936"/>
      <c r="AE158" s="937"/>
    </row>
    <row r="159" spans="2:31">
      <c r="B159" s="920"/>
      <c r="C159" s="920"/>
      <c r="D159" s="920"/>
      <c r="E159" s="920"/>
      <c r="F159" s="920"/>
      <c r="G159" s="920"/>
      <c r="H159" s="934"/>
      <c r="I159" s="935"/>
      <c r="J159" s="935"/>
      <c r="K159" s="935"/>
      <c r="L159" s="935"/>
      <c r="M159" s="935"/>
      <c r="N159" s="935"/>
      <c r="O159" s="935"/>
      <c r="P159" s="935"/>
      <c r="Q159" s="935"/>
      <c r="R159" s="935"/>
      <c r="S159" s="935"/>
      <c r="T159" s="935"/>
      <c r="U159" s="935"/>
      <c r="V159" s="935"/>
      <c r="W159" s="935"/>
      <c r="X159" s="936"/>
      <c r="Y159" s="936"/>
      <c r="Z159" s="936"/>
      <c r="AA159" s="936"/>
      <c r="AB159" s="936"/>
      <c r="AC159" s="936"/>
      <c r="AD159" s="936"/>
      <c r="AE159" s="937"/>
    </row>
    <row r="160" spans="2:31">
      <c r="B160" s="920"/>
      <c r="C160" s="920"/>
      <c r="D160" s="920"/>
      <c r="E160" s="920"/>
      <c r="F160" s="920"/>
      <c r="G160" s="920"/>
      <c r="H160" s="934"/>
      <c r="I160" s="935"/>
      <c r="J160" s="935"/>
      <c r="K160" s="935"/>
      <c r="L160" s="935"/>
      <c r="M160" s="935"/>
      <c r="N160" s="935"/>
      <c r="O160" s="935"/>
      <c r="P160" s="935"/>
      <c r="Q160" s="935"/>
      <c r="R160" s="935"/>
      <c r="S160" s="935"/>
      <c r="T160" s="935"/>
      <c r="U160" s="935"/>
      <c r="V160" s="935"/>
      <c r="W160" s="935"/>
      <c r="X160" s="936"/>
      <c r="Y160" s="936"/>
      <c r="Z160" s="936"/>
      <c r="AA160" s="936"/>
      <c r="AB160" s="936"/>
      <c r="AC160" s="936"/>
      <c r="AD160" s="936"/>
      <c r="AE160" s="937"/>
    </row>
    <row r="161" spans="2:31">
      <c r="B161" s="920"/>
      <c r="C161" s="920"/>
      <c r="D161" s="920"/>
      <c r="E161" s="920"/>
      <c r="F161" s="920"/>
      <c r="G161" s="920"/>
      <c r="H161" s="934"/>
      <c r="I161" s="935"/>
      <c r="J161" s="935"/>
      <c r="K161" s="935"/>
      <c r="L161" s="935"/>
      <c r="M161" s="935"/>
      <c r="N161" s="935"/>
      <c r="O161" s="935"/>
      <c r="P161" s="935"/>
      <c r="Q161" s="935"/>
      <c r="R161" s="935"/>
      <c r="S161" s="935"/>
      <c r="T161" s="935"/>
      <c r="U161" s="935"/>
      <c r="V161" s="935"/>
      <c r="W161" s="935"/>
      <c r="X161" s="936"/>
      <c r="Y161" s="936"/>
      <c r="Z161" s="936"/>
      <c r="AA161" s="936"/>
      <c r="AB161" s="936"/>
      <c r="AC161" s="936"/>
      <c r="AD161" s="936"/>
      <c r="AE161" s="937"/>
    </row>
    <row r="162" spans="2:31">
      <c r="B162" s="920"/>
      <c r="C162" s="920"/>
      <c r="D162" s="920"/>
      <c r="E162" s="920"/>
      <c r="F162" s="920"/>
      <c r="G162" s="920"/>
      <c r="H162" s="934"/>
      <c r="I162" s="935"/>
      <c r="J162" s="935"/>
      <c r="K162" s="935"/>
      <c r="L162" s="935"/>
      <c r="M162" s="935"/>
      <c r="N162" s="935"/>
      <c r="O162" s="935"/>
      <c r="P162" s="935"/>
      <c r="Q162" s="935"/>
      <c r="R162" s="935"/>
      <c r="S162" s="935"/>
      <c r="T162" s="935"/>
      <c r="U162" s="935"/>
      <c r="V162" s="935"/>
      <c r="W162" s="935"/>
      <c r="X162" s="936"/>
      <c r="Y162" s="936"/>
      <c r="Z162" s="936"/>
      <c r="AA162" s="936"/>
      <c r="AB162" s="936"/>
      <c r="AC162" s="936"/>
      <c r="AD162" s="936"/>
      <c r="AE162" s="937"/>
    </row>
    <row r="163" spans="2:31">
      <c r="B163" s="920"/>
      <c r="C163" s="920"/>
      <c r="D163" s="920"/>
      <c r="E163" s="920"/>
      <c r="F163" s="920"/>
      <c r="G163" s="920"/>
      <c r="H163" s="934"/>
      <c r="I163" s="935"/>
      <c r="J163" s="935"/>
      <c r="K163" s="935"/>
      <c r="L163" s="935"/>
      <c r="M163" s="935"/>
      <c r="N163" s="935"/>
      <c r="O163" s="935"/>
      <c r="P163" s="935"/>
      <c r="Q163" s="935"/>
      <c r="R163" s="935"/>
      <c r="S163" s="935"/>
      <c r="T163" s="935"/>
      <c r="U163" s="935"/>
      <c r="V163" s="935"/>
      <c r="W163" s="935"/>
      <c r="X163" s="936"/>
      <c r="Y163" s="936"/>
      <c r="Z163" s="936"/>
      <c r="AA163" s="936"/>
      <c r="AB163" s="936"/>
      <c r="AC163" s="936"/>
      <c r="AD163" s="936"/>
      <c r="AE163" s="937"/>
    </row>
    <row r="164" spans="2:31">
      <c r="B164" s="920"/>
      <c r="C164" s="920"/>
      <c r="D164" s="920"/>
      <c r="E164" s="920"/>
      <c r="F164" s="920"/>
      <c r="G164" s="920"/>
      <c r="H164" s="934"/>
      <c r="I164" s="935"/>
      <c r="J164" s="935"/>
      <c r="K164" s="935"/>
      <c r="L164" s="935"/>
      <c r="M164" s="935"/>
      <c r="N164" s="935"/>
      <c r="O164" s="935"/>
      <c r="P164" s="935"/>
      <c r="Q164" s="935"/>
      <c r="R164" s="935"/>
      <c r="S164" s="935"/>
      <c r="T164" s="935"/>
      <c r="U164" s="935"/>
      <c r="V164" s="935"/>
      <c r="W164" s="935"/>
      <c r="X164" s="936"/>
      <c r="Y164" s="936"/>
      <c r="Z164" s="936"/>
      <c r="AA164" s="936"/>
      <c r="AB164" s="936"/>
      <c r="AC164" s="936"/>
      <c r="AD164" s="936"/>
      <c r="AE164" s="937"/>
    </row>
    <row r="165" spans="2:31">
      <c r="B165" s="920"/>
      <c r="C165" s="920"/>
      <c r="D165" s="920"/>
      <c r="E165" s="920"/>
      <c r="F165" s="920"/>
      <c r="G165" s="920"/>
      <c r="H165" s="934"/>
      <c r="I165" s="935"/>
      <c r="J165" s="935"/>
      <c r="K165" s="935"/>
      <c r="L165" s="935"/>
      <c r="M165" s="935"/>
      <c r="N165" s="935"/>
      <c r="O165" s="935"/>
      <c r="P165" s="935"/>
      <c r="Q165" s="935"/>
      <c r="R165" s="935"/>
      <c r="S165" s="935"/>
      <c r="T165" s="935"/>
      <c r="U165" s="935"/>
      <c r="V165" s="935"/>
      <c r="W165" s="935"/>
      <c r="X165" s="936"/>
      <c r="Y165" s="936"/>
      <c r="Z165" s="936"/>
      <c r="AA165" s="936"/>
      <c r="AB165" s="936"/>
      <c r="AC165" s="936"/>
      <c r="AD165" s="936"/>
      <c r="AE165" s="937"/>
    </row>
    <row r="166" spans="2:31">
      <c r="B166" s="920"/>
      <c r="C166" s="920"/>
      <c r="D166" s="920"/>
      <c r="E166" s="920"/>
      <c r="F166" s="920"/>
      <c r="G166" s="920"/>
      <c r="H166" s="934"/>
      <c r="I166" s="935"/>
      <c r="J166" s="935"/>
      <c r="K166" s="935"/>
      <c r="L166" s="935"/>
      <c r="M166" s="935"/>
      <c r="N166" s="935"/>
      <c r="O166" s="935"/>
      <c r="P166" s="935"/>
      <c r="Q166" s="935"/>
      <c r="R166" s="935"/>
      <c r="S166" s="935"/>
      <c r="T166" s="935"/>
      <c r="U166" s="935"/>
      <c r="V166" s="935"/>
      <c r="W166" s="935"/>
      <c r="X166" s="936"/>
      <c r="Y166" s="936"/>
      <c r="Z166" s="936"/>
      <c r="AA166" s="936"/>
      <c r="AB166" s="936"/>
      <c r="AC166" s="936"/>
      <c r="AD166" s="936"/>
      <c r="AE166" s="937"/>
    </row>
    <row r="167" spans="2:31">
      <c r="B167" s="920"/>
      <c r="C167" s="920"/>
      <c r="D167" s="920"/>
      <c r="E167" s="920"/>
      <c r="F167" s="920"/>
      <c r="G167" s="920"/>
      <c r="H167" s="938"/>
      <c r="I167" s="939"/>
      <c r="J167" s="939"/>
      <c r="K167" s="939"/>
      <c r="L167" s="939"/>
      <c r="M167" s="939"/>
      <c r="N167" s="939"/>
      <c r="O167" s="939"/>
      <c r="P167" s="939"/>
      <c r="Q167" s="939"/>
      <c r="R167" s="939"/>
      <c r="S167" s="939"/>
      <c r="T167" s="939"/>
      <c r="U167" s="939"/>
      <c r="V167" s="939"/>
      <c r="W167" s="939"/>
      <c r="X167" s="940"/>
      <c r="Y167" s="940"/>
      <c r="Z167" s="940"/>
      <c r="AA167" s="940"/>
      <c r="AB167" s="940"/>
      <c r="AC167" s="940"/>
      <c r="AD167" s="940"/>
      <c r="AE167" s="941"/>
    </row>
  </sheetData>
  <mergeCells count="273">
    <mergeCell ref="H153:O153"/>
    <mergeCell ref="H154:O154"/>
    <mergeCell ref="H149:AE149"/>
    <mergeCell ref="P154:AE154"/>
    <mergeCell ref="P156:AE156"/>
    <mergeCell ref="D14:E14"/>
    <mergeCell ref="F14:G14"/>
    <mergeCell ref="AM116:AN116"/>
    <mergeCell ref="H155:O155"/>
    <mergeCell ref="F113:J113"/>
    <mergeCell ref="L113:P113"/>
    <mergeCell ref="B121:G121"/>
    <mergeCell ref="B122:G122"/>
    <mergeCell ref="B119:G119"/>
    <mergeCell ref="B120:G120"/>
    <mergeCell ref="B148:G148"/>
    <mergeCell ref="B125:G125"/>
    <mergeCell ref="B126:G126"/>
    <mergeCell ref="AB113:AF113"/>
    <mergeCell ref="B129:G129"/>
    <mergeCell ref="B134:G134"/>
    <mergeCell ref="H129:AE129"/>
    <mergeCell ref="H134:AE134"/>
    <mergeCell ref="H130:AE133"/>
    <mergeCell ref="AL1:AR1"/>
    <mergeCell ref="P152:AE152"/>
    <mergeCell ref="P153:AE153"/>
    <mergeCell ref="P150:AE150"/>
    <mergeCell ref="P151:AE151"/>
    <mergeCell ref="B144:AE144"/>
    <mergeCell ref="B149:G167"/>
    <mergeCell ref="H151:O151"/>
    <mergeCell ref="H152:O152"/>
    <mergeCell ref="H157:AE167"/>
    <mergeCell ref="AG1:AK1"/>
    <mergeCell ref="H145:AE145"/>
    <mergeCell ref="H146:AE146"/>
    <mergeCell ref="H148:AE148"/>
    <mergeCell ref="AH113:AL113"/>
    <mergeCell ref="F111:J111"/>
    <mergeCell ref="L111:P111"/>
    <mergeCell ref="AB111:AF111"/>
    <mergeCell ref="AH111:AL111"/>
    <mergeCell ref="F112:J112"/>
    <mergeCell ref="P155:AE155"/>
    <mergeCell ref="H150:O150"/>
    <mergeCell ref="Z147:AE147"/>
    <mergeCell ref="H156:O156"/>
    <mergeCell ref="B130:G133"/>
    <mergeCell ref="B145:G145"/>
    <mergeCell ref="B146:G146"/>
    <mergeCell ref="U147:Y147"/>
    <mergeCell ref="O147:T147"/>
    <mergeCell ref="H147:N147"/>
    <mergeCell ref="B147:G147"/>
    <mergeCell ref="AB112:AF112"/>
    <mergeCell ref="AH112:AL112"/>
    <mergeCell ref="B128:G128"/>
    <mergeCell ref="H127:AE127"/>
    <mergeCell ref="H128:AE128"/>
    <mergeCell ref="B127:G127"/>
    <mergeCell ref="AB110:AF110"/>
    <mergeCell ref="AH110:AL110"/>
    <mergeCell ref="AB109:AF109"/>
    <mergeCell ref="AH109:AL109"/>
    <mergeCell ref="B124:G124"/>
    <mergeCell ref="H126:AE126"/>
    <mergeCell ref="H119:AE119"/>
    <mergeCell ref="H120:AE120"/>
    <mergeCell ref="H121:AE121"/>
    <mergeCell ref="H124:AE124"/>
    <mergeCell ref="H125:AE125"/>
    <mergeCell ref="H122:AE122"/>
    <mergeCell ref="H123:AE123"/>
    <mergeCell ref="B123:G123"/>
    <mergeCell ref="Q116:R116"/>
    <mergeCell ref="F110:J110"/>
    <mergeCell ref="L112:P112"/>
    <mergeCell ref="F109:J109"/>
    <mergeCell ref="L109:P109"/>
    <mergeCell ref="L110:P110"/>
    <mergeCell ref="AB108:AF108"/>
    <mergeCell ref="F107:J107"/>
    <mergeCell ref="L107:P107"/>
    <mergeCell ref="AB107:AF107"/>
    <mergeCell ref="AH107:AL107"/>
    <mergeCell ref="AH108:AL108"/>
    <mergeCell ref="AB105:AF105"/>
    <mergeCell ref="AH105:AL105"/>
    <mergeCell ref="F106:J106"/>
    <mergeCell ref="F108:J108"/>
    <mergeCell ref="L108:P108"/>
    <mergeCell ref="K90:AD90"/>
    <mergeCell ref="H78:J78"/>
    <mergeCell ref="L106:P106"/>
    <mergeCell ref="AB106:AF106"/>
    <mergeCell ref="AH106:AL106"/>
    <mergeCell ref="F105:J105"/>
    <mergeCell ref="L105:P105"/>
    <mergeCell ref="L100:P100"/>
    <mergeCell ref="F101:J101"/>
    <mergeCell ref="L101:P101"/>
    <mergeCell ref="L103:P103"/>
    <mergeCell ref="L104:P104"/>
    <mergeCell ref="AB104:AF104"/>
    <mergeCell ref="AB103:AF103"/>
    <mergeCell ref="AH103:AL103"/>
    <mergeCell ref="AH104:AL104"/>
    <mergeCell ref="AB102:AF102"/>
    <mergeCell ref="B12:C13"/>
    <mergeCell ref="O33:U33"/>
    <mergeCell ref="D18:S18"/>
    <mergeCell ref="O32:U32"/>
    <mergeCell ref="D26:AQ26"/>
    <mergeCell ref="X33:Y33"/>
    <mergeCell ref="H32:J32"/>
    <mergeCell ref="AK12:AR12"/>
    <mergeCell ref="AE12:AJ12"/>
    <mergeCell ref="AD33:AL33"/>
    <mergeCell ref="D24:N24"/>
    <mergeCell ref="D22:AQ22"/>
    <mergeCell ref="AD32:AL32"/>
    <mergeCell ref="G31:AL31"/>
    <mergeCell ref="H33:J33"/>
    <mergeCell ref="B2:B4"/>
    <mergeCell ref="AG3:AK3"/>
    <mergeCell ref="AK9:AR9"/>
    <mergeCell ref="AL3:AR3"/>
    <mergeCell ref="AG4:AK4"/>
    <mergeCell ref="AG5:AK5"/>
    <mergeCell ref="AL5:AR5"/>
    <mergeCell ref="AL4:AR4"/>
    <mergeCell ref="AE9:AJ9"/>
    <mergeCell ref="AM49:AN49"/>
    <mergeCell ref="AD49:AL49"/>
    <mergeCell ref="AM65:AN65"/>
    <mergeCell ref="O42:U42"/>
    <mergeCell ref="O45:W45"/>
    <mergeCell ref="O50:U50"/>
    <mergeCell ref="W58:Y58"/>
    <mergeCell ref="Q58:R58"/>
    <mergeCell ref="X50:Y50"/>
    <mergeCell ref="K55:R55"/>
    <mergeCell ref="S58:U58"/>
    <mergeCell ref="Z58:AB58"/>
    <mergeCell ref="M57:AH57"/>
    <mergeCell ref="H60:W60"/>
    <mergeCell ref="AB65:AL65"/>
    <mergeCell ref="D65:J65"/>
    <mergeCell ref="H42:J42"/>
    <mergeCell ref="X42:Y42"/>
    <mergeCell ref="O44:W44"/>
    <mergeCell ref="H49:J49"/>
    <mergeCell ref="BF99:BI99"/>
    <mergeCell ref="AK10:AR10"/>
    <mergeCell ref="AK11:AR11"/>
    <mergeCell ref="AM32:AN32"/>
    <mergeCell ref="AD50:AL50"/>
    <mergeCell ref="AE14:AH14"/>
    <mergeCell ref="AE11:AJ11"/>
    <mergeCell ref="O47:AL47"/>
    <mergeCell ref="E88:AI88"/>
    <mergeCell ref="L98:P98"/>
    <mergeCell ref="D20:AQ20"/>
    <mergeCell ref="AE10:AJ10"/>
    <mergeCell ref="O66:U66"/>
    <mergeCell ref="AP14:AR14"/>
    <mergeCell ref="AM14:AO14"/>
    <mergeCell ref="R65:V65"/>
    <mergeCell ref="AD42:AL42"/>
    <mergeCell ref="AD41:AL41"/>
    <mergeCell ref="E34:G34"/>
    <mergeCell ref="H34:K34"/>
    <mergeCell ref="E43:G43"/>
    <mergeCell ref="E51:G51"/>
    <mergeCell ref="AD67:AL67"/>
    <mergeCell ref="Q92:Y92"/>
    <mergeCell ref="BB99:BE99"/>
    <mergeCell ref="O72:U72"/>
    <mergeCell ref="R75:V75"/>
    <mergeCell ref="AD76:AL76"/>
    <mergeCell ref="O76:U76"/>
    <mergeCell ref="AD77:AL77"/>
    <mergeCell ref="X72:Y72"/>
    <mergeCell ref="AR97:AS97"/>
    <mergeCell ref="O77:U77"/>
    <mergeCell ref="AM97:AO97"/>
    <mergeCell ref="AH99:AL99"/>
    <mergeCell ref="AH98:AL98"/>
    <mergeCell ref="AB80:AL80"/>
    <mergeCell ref="AB81:AL81"/>
    <mergeCell ref="P93:Z93"/>
    <mergeCell ref="X96:Y96"/>
    <mergeCell ref="V97:W97"/>
    <mergeCell ref="E87:AI87"/>
    <mergeCell ref="T81:Y81"/>
    <mergeCell ref="T80:Y80"/>
    <mergeCell ref="F98:J98"/>
    <mergeCell ref="X77:Y77"/>
    <mergeCell ref="H72:J72"/>
    <mergeCell ref="H77:J77"/>
    <mergeCell ref="O38:W38"/>
    <mergeCell ref="O41:U41"/>
    <mergeCell ref="O36:W36"/>
    <mergeCell ref="H41:J41"/>
    <mergeCell ref="O39:AL39"/>
    <mergeCell ref="O37:W37"/>
    <mergeCell ref="H66:J66"/>
    <mergeCell ref="X67:Y67"/>
    <mergeCell ref="AB101:AF101"/>
    <mergeCell ref="H50:J50"/>
    <mergeCell ref="H51:K51"/>
    <mergeCell ref="H43:K43"/>
    <mergeCell ref="D70:J70"/>
    <mergeCell ref="AD72:AL72"/>
    <mergeCell ref="AB70:AL70"/>
    <mergeCell ref="AB75:AL75"/>
    <mergeCell ref="F99:J99"/>
    <mergeCell ref="L99:P99"/>
    <mergeCell ref="AB98:AF98"/>
    <mergeCell ref="E78:G78"/>
    <mergeCell ref="Z92:AC92"/>
    <mergeCell ref="AB99:AF99"/>
    <mergeCell ref="T97:U97"/>
    <mergeCell ref="E85:AI85"/>
    <mergeCell ref="AP97:AQ97"/>
    <mergeCell ref="AR116:AS116"/>
    <mergeCell ref="T116:U116"/>
    <mergeCell ref="AP116:AQ116"/>
    <mergeCell ref="T82:Y82"/>
    <mergeCell ref="AB82:AL82"/>
    <mergeCell ref="AB100:AF100"/>
    <mergeCell ref="AH100:AL100"/>
    <mergeCell ref="AM76:AN76"/>
    <mergeCell ref="AH101:AL101"/>
    <mergeCell ref="E86:AI86"/>
    <mergeCell ref="K91:AD91"/>
    <mergeCell ref="K92:O92"/>
    <mergeCell ref="E90:H90"/>
    <mergeCell ref="F104:J104"/>
    <mergeCell ref="Q97:S97"/>
    <mergeCell ref="F100:J100"/>
    <mergeCell ref="V116:W116"/>
    <mergeCell ref="K93:N93"/>
    <mergeCell ref="H76:J76"/>
    <mergeCell ref="F102:J102"/>
    <mergeCell ref="L102:P102"/>
    <mergeCell ref="AH102:AL102"/>
    <mergeCell ref="F103:J103"/>
    <mergeCell ref="AN81:AO81"/>
    <mergeCell ref="AP81:AQ81"/>
    <mergeCell ref="O49:U49"/>
    <mergeCell ref="O46:W46"/>
    <mergeCell ref="AM71:AN71"/>
    <mergeCell ref="AD66:AL66"/>
    <mergeCell ref="AM60:AN60"/>
    <mergeCell ref="AM53:AN53"/>
    <mergeCell ref="AA55:AB55"/>
    <mergeCell ref="H53:AC53"/>
    <mergeCell ref="K54:AC54"/>
    <mergeCell ref="M56:AC56"/>
    <mergeCell ref="D75:J75"/>
    <mergeCell ref="H73:J73"/>
    <mergeCell ref="E73:G73"/>
    <mergeCell ref="H68:J68"/>
    <mergeCell ref="O67:U67"/>
    <mergeCell ref="O68:Q68"/>
    <mergeCell ref="E68:G68"/>
    <mergeCell ref="O71:U71"/>
    <mergeCell ref="R70:V70"/>
    <mergeCell ref="AD71:AL71"/>
    <mergeCell ref="H67:J67"/>
    <mergeCell ref="H71:J71"/>
  </mergeCells>
  <phoneticPr fontId="2"/>
  <dataValidations count="22">
    <dataValidation type="date" allowBlank="1" showInputMessage="1" showErrorMessage="1" sqref="AH98:AL113 AL3:AR5 AB98:AF113 F98:J113 L98:P113">
      <formula1>1</formula1>
      <formula2>401768</formula2>
    </dataValidation>
    <dataValidation imeMode="hiragana" allowBlank="1" showInputMessage="1" showErrorMessage="1" sqref="H157:W167"/>
    <dataValidation type="list" showInputMessage="1" sqref="Z98:Z113 D98:D113">
      <formula1>$BB$96:$BB$97</formula1>
    </dataValidation>
    <dataValidation type="list" allowBlank="1" showInputMessage="1" showErrorMessage="1" sqref="H126:AE129">
      <formula1>$BD$120</formula1>
    </dataValidation>
    <dataValidation type="list" allowBlank="1" showInputMessage="1" showErrorMessage="1" sqref="B2:B4">
      <formula1>$N$3:$N$8</formula1>
    </dataValidation>
    <dataValidation type="list" allowBlank="1" showInputMessage="1" showErrorMessage="1" sqref="H121:AE121">
      <formula1>$AJ$119:$AJ$137</formula1>
    </dataValidation>
    <dataValidation type="list" allowBlank="1" showInputMessage="1" showErrorMessage="1" sqref="H124:AE124">
      <formula1>$BC$119:$BC$120</formula1>
    </dataValidation>
    <dataValidation type="list" allowBlank="1" showInputMessage="1" showErrorMessage="1" sqref="H123:AE123">
      <formula1>$BB$119:$BB$124</formula1>
    </dataValidation>
    <dataValidation type="list" allowBlank="1" showInputMessage="1" showErrorMessage="1" sqref="Z76 Z41 Z66 Z49 Z71 Z32">
      <formula1>$BB$25:$BB$29</formula1>
    </dataValidation>
    <dataValidation type="list" allowBlank="1" showInputMessage="1" showErrorMessage="1" sqref="Z77 Z42 Z67 Z33 Z72 Z50">
      <formula1>$BC$25:$BC$29</formula1>
    </dataValidation>
    <dataValidation type="list" allowBlank="1" showInputMessage="1" showErrorMessage="1" sqref="H53">
      <formula1>$BJ$25:$BJ$29</formula1>
    </dataValidation>
    <dataValidation type="list" allowBlank="1" showInputMessage="1" showErrorMessage="1" sqref="K55">
      <formula1>$BK$25:$BK$28</formula1>
    </dataValidation>
    <dataValidation type="list" allowBlank="1" showInputMessage="1" showErrorMessage="1" sqref="H60">
      <formula1>$BL$25:$BL$27</formula1>
    </dataValidation>
    <dataValidation type="list" allowBlank="1" showInputMessage="1" showErrorMessage="1" sqref="O36:W36">
      <formula1>$BD$25:$BD$29</formula1>
    </dataValidation>
    <dataValidation type="list" allowBlank="1" showInputMessage="1" showErrorMessage="1" sqref="O38:W38">
      <formula1>$BF$25:$BF$27</formula1>
    </dataValidation>
    <dataValidation type="list" allowBlank="1" showInputMessage="1" showErrorMessage="1" sqref="O37:W37 R65:V65 R70:V70 R75:V75">
      <formula1>$BE$25:$BE$26</formula1>
    </dataValidation>
    <dataValidation type="list" allowBlank="1" showInputMessage="1" showErrorMessage="1" sqref="O44:W44">
      <formula1>$BG$25:$BG$30</formula1>
    </dataValidation>
    <dataValidation type="list" allowBlank="1" showInputMessage="1" showErrorMessage="1" sqref="O45:W45">
      <formula1>$BH$25:$BH$26</formula1>
    </dataValidation>
    <dataValidation type="list" allowBlank="1" showInputMessage="1" showErrorMessage="1" sqref="O46:W46">
      <formula1>$BI$25:$BI$27</formula1>
    </dataValidation>
    <dataValidation type="list" allowBlank="1" showInputMessage="1" showErrorMessage="1" sqref="AB65:AL65 AB70:AL70 AB75:AL75">
      <formula1>$BM$25:$BM$27</formula1>
    </dataValidation>
    <dataValidation type="list" allowBlank="1" showInputMessage="1" showErrorMessage="1" sqref="B76">
      <formula1>$BA$6:$BA$19</formula1>
    </dataValidation>
    <dataValidation type="list" allowBlank="1" showInputMessage="1" showErrorMessage="1" sqref="B44 B36 B31 B53 B60 B65 B71">
      <formula1>$BA$6:$BA$19</formula1>
    </dataValidation>
  </dataValidations>
  <printOptions horizontalCentered="1"/>
  <pageMargins left="0.59055118110236227" right="0.39370078740157483" top="0.39370078740157483" bottom="0.19685039370078741" header="0.51181102362204722" footer="0.51181102362204722"/>
  <pageSetup paperSize="9" scale="58" orientation="portrait" verticalDpi="300" r:id="rId1"/>
  <headerFooter alignWithMargins="0"/>
  <drawing r:id="rId2"/>
  <legacyDrawing r:id="rId3"/>
  <controls>
    <control shapeId="36866" r:id="rId4" name="OptionButton予算処置1"/>
    <control shapeId="36867" r:id="rId5" name="OptionButton予算処置2"/>
    <control shapeId="36868" r:id="rId6" name="OptionButton予算処置3"/>
    <control shapeId="36869" r:id="rId7" name="OptionButton予算処置4"/>
    <control shapeId="36881" r:id="rId8" name="CommandButton作業期間入力"/>
    <control shapeId="36915" r:id="rId9" name="CommandButton金額計算"/>
    <control shapeId="36921" r:id="rId10" name="CommandButtonメール送信"/>
    <control shapeId="36870" r:id="rId11" name="CommandButton発注"/>
    <control shapeId="36871" r:id="rId12" name="ComboBox発注支払条件"/>
    <control shapeId="36926" r:id="rId13" name="CommandButton支払条件"/>
    <control shapeId="36933" r:id="rId14" name="CommandButton帳票出力"/>
    <control shapeId="36865" r:id="rId15" name="CommandButton変更依頼書作成"/>
    <control shapeId="36902" r:id="rId16" name="cmbRate1"/>
    <control shapeId="36903" r:id="rId17" name="cmbRate2"/>
    <control shapeId="36904" r:id="rId18" name="cmbRate3"/>
    <control shapeId="36907" r:id="rId19" name="cmbRate6"/>
    <control shapeId="36905" r:id="rId20" name="cmbRate4"/>
    <control shapeId="36906" r:id="rId21" name="cmbRate5"/>
    <control shapeId="36909" r:id="rId22" name="CommandButton作成日"/>
    <control shapeId="36910" r:id="rId23" name="CommandButton受付日"/>
    <control shapeId="36912" r:id="rId24" name="CommandButton決裁日"/>
    <control shapeId="36923" r:id="rId25" name="TextBox社員Code"/>
    <control shapeId="36929" r:id="rId26" name="CommandButton通貨"/>
    <control shapeId="36939" r:id="rId27" name="CommandButtonサーバー保存"/>
  </controls>
</worksheet>
</file>

<file path=xl/worksheets/sheet12.xml><?xml version="1.0" encoding="utf-8"?>
<worksheet xmlns="http://schemas.openxmlformats.org/spreadsheetml/2006/main" xmlns:r="http://schemas.openxmlformats.org/officeDocument/2006/relationships">
  <sheetPr codeName="Sheet4"/>
  <dimension ref="B1:L112"/>
  <sheetViews>
    <sheetView workbookViewId="0"/>
  </sheetViews>
  <sheetFormatPr defaultRowHeight="13.5"/>
  <cols>
    <col min="2" max="2" width="2.125" customWidth="1"/>
    <col min="3" max="3" width="3" customWidth="1"/>
    <col min="4" max="4" width="3.25" customWidth="1"/>
    <col min="5" max="5" width="27.625" customWidth="1"/>
    <col min="6" max="6" width="19.5" customWidth="1"/>
    <col min="7" max="7" width="40.25" customWidth="1"/>
    <col min="9" max="9" width="9.875" customWidth="1"/>
    <col min="11" max="11" width="7.875" customWidth="1"/>
    <col min="12" max="12" width="6.625" customWidth="1"/>
    <col min="13" max="21" width="2.25" customWidth="1"/>
  </cols>
  <sheetData>
    <row r="1" spans="2:12" ht="17.25">
      <c r="B1" s="21" t="s">
        <v>256</v>
      </c>
    </row>
    <row r="3" spans="2:12">
      <c r="B3" t="s">
        <v>257</v>
      </c>
      <c r="G3" t="s">
        <v>258</v>
      </c>
    </row>
    <row r="4" spans="2:12">
      <c r="F4" s="14" t="s">
        <v>259</v>
      </c>
      <c r="I4">
        <f>+算出表!F7</f>
        <v>0</v>
      </c>
    </row>
    <row r="5" spans="2:12">
      <c r="D5" t="s">
        <v>260</v>
      </c>
      <c r="E5" t="s">
        <v>261</v>
      </c>
      <c r="F5" s="237">
        <v>961000</v>
      </c>
      <c r="G5" t="s">
        <v>262</v>
      </c>
      <c r="I5">
        <f>IF(I4&gt;=29,INT(F5/1000),0)</f>
        <v>0</v>
      </c>
      <c r="J5">
        <f>IF(I5&gt;0,G5,0)</f>
        <v>0</v>
      </c>
    </row>
    <row r="6" spans="2:12">
      <c r="D6" t="s">
        <v>1</v>
      </c>
      <c r="E6" t="s">
        <v>263</v>
      </c>
      <c r="F6" s="237">
        <v>927000</v>
      </c>
      <c r="G6" t="s">
        <v>264</v>
      </c>
      <c r="I6">
        <f>IF($I$4&lt;26,0,IF($I$4&gt;=29,0,INT(F6/1000)))</f>
        <v>0</v>
      </c>
      <c r="J6">
        <f t="shared" ref="J6:J15" si="0">IF(I6&gt;0,G6,0)</f>
        <v>0</v>
      </c>
    </row>
    <row r="7" spans="2:12">
      <c r="D7" t="s">
        <v>2</v>
      </c>
      <c r="E7" t="s">
        <v>265</v>
      </c>
      <c r="F7" s="237">
        <v>867000</v>
      </c>
      <c r="G7" t="s">
        <v>266</v>
      </c>
      <c r="I7">
        <f>IF($I$4&lt;23,0,IF($I$4&gt;=26,0,INT(F7/1000)))</f>
        <v>0</v>
      </c>
      <c r="J7">
        <f t="shared" si="0"/>
        <v>0</v>
      </c>
    </row>
    <row r="8" spans="2:12">
      <c r="D8" t="s">
        <v>3</v>
      </c>
      <c r="E8" t="s">
        <v>267</v>
      </c>
      <c r="F8" s="237">
        <v>813000</v>
      </c>
      <c r="G8" t="s">
        <v>268</v>
      </c>
      <c r="I8">
        <f>IF($I$4&lt;20,0,IF($I$4&gt;=23,0,INT(F8/1000)))</f>
        <v>0</v>
      </c>
      <c r="J8">
        <f t="shared" si="0"/>
        <v>0</v>
      </c>
    </row>
    <row r="9" spans="2:12">
      <c r="D9" t="s">
        <v>4</v>
      </c>
      <c r="E9" t="s">
        <v>269</v>
      </c>
      <c r="F9" s="237">
        <v>791000</v>
      </c>
      <c r="G9" t="s">
        <v>270</v>
      </c>
      <c r="I9">
        <f>IF($I$4&lt;17,0,IF($I$4&gt;=20,0,INT(F9/1000)))</f>
        <v>0</v>
      </c>
      <c r="J9">
        <f t="shared" si="0"/>
        <v>0</v>
      </c>
    </row>
    <row r="10" spans="2:12">
      <c r="D10" t="s">
        <v>5</v>
      </c>
      <c r="E10" t="s">
        <v>271</v>
      </c>
      <c r="F10" s="237">
        <v>745000</v>
      </c>
      <c r="G10" t="s">
        <v>272</v>
      </c>
      <c r="I10">
        <f>IF($I$4&lt;14,0,IF($I$4&gt;=17,0,INT(F10/1000)))</f>
        <v>0</v>
      </c>
      <c r="J10">
        <f t="shared" si="0"/>
        <v>0</v>
      </c>
    </row>
    <row r="11" spans="2:12">
      <c r="D11" t="s">
        <v>6</v>
      </c>
      <c r="E11" t="s">
        <v>273</v>
      </c>
      <c r="F11" s="237">
        <v>564000</v>
      </c>
      <c r="G11" t="s">
        <v>274</v>
      </c>
      <c r="I11">
        <f>IF($I$4&lt;12,0,IF($I$4&gt;=14,0,INT(F11/1000)))</f>
        <v>0</v>
      </c>
      <c r="J11">
        <f t="shared" si="0"/>
        <v>0</v>
      </c>
    </row>
    <row r="12" spans="2:12">
      <c r="D12" t="s">
        <v>7</v>
      </c>
      <c r="E12" t="s">
        <v>275</v>
      </c>
      <c r="F12" s="237">
        <v>500000</v>
      </c>
      <c r="G12" t="s">
        <v>276</v>
      </c>
      <c r="I12">
        <f>IF($I$4&lt;9,0,IF($I$4&gt;=12,0,INT(F12/1000)))</f>
        <v>0</v>
      </c>
      <c r="J12">
        <f t="shared" si="0"/>
        <v>0</v>
      </c>
    </row>
    <row r="13" spans="2:12">
      <c r="D13" t="s">
        <v>8</v>
      </c>
      <c r="E13" t="s">
        <v>277</v>
      </c>
      <c r="F13" s="237">
        <v>437000</v>
      </c>
      <c r="G13" t="s">
        <v>278</v>
      </c>
      <c r="I13">
        <f>IF($I$4&lt;6,0,IF($I$4&gt;=9,0,INT(F13/1000)))</f>
        <v>0</v>
      </c>
      <c r="J13">
        <f t="shared" si="0"/>
        <v>0</v>
      </c>
    </row>
    <row r="14" spans="2:12">
      <c r="D14" t="s">
        <v>9</v>
      </c>
      <c r="E14" t="s">
        <v>279</v>
      </c>
      <c r="F14" s="237">
        <v>401000</v>
      </c>
      <c r="G14" t="s">
        <v>280</v>
      </c>
      <c r="I14">
        <f>IF($I$4&lt;4,0,IF($I$4&gt;=6,0,INT(F14/1000)))</f>
        <v>0</v>
      </c>
      <c r="J14">
        <f t="shared" si="0"/>
        <v>0</v>
      </c>
    </row>
    <row r="15" spans="2:12">
      <c r="D15" t="s">
        <v>10</v>
      </c>
      <c r="E15" t="s">
        <v>281</v>
      </c>
      <c r="F15" s="237">
        <v>352000</v>
      </c>
      <c r="G15" t="s">
        <v>282</v>
      </c>
      <c r="I15">
        <f>IF($I$4&lt;=0,0,IF($I$4&gt;=4,0,INT(F15/1000)))</f>
        <v>0</v>
      </c>
      <c r="J15">
        <f t="shared" si="0"/>
        <v>0</v>
      </c>
    </row>
    <row r="16" spans="2:12">
      <c r="I16">
        <f>INT(SUM(I5:I15))</f>
        <v>0</v>
      </c>
      <c r="J16">
        <f>IF(J5&gt;0,J5,IF(J6&gt;0,J6,IF(J7&gt;0,J7,IF(J8&gt;0,J8,IF(J9&gt;0,J9,IF(J10&gt;0,J10,IF(J11&gt;0,J11,IF(J12&gt;0,J12,0))))))))</f>
        <v>0</v>
      </c>
      <c r="K16">
        <f>IF(J13&gt;0,J13,IF(J14&gt;0,J14,IF(J15&gt;0,J15,0)))</f>
        <v>0</v>
      </c>
      <c r="L16">
        <f>IF(J16&gt;0,J16,K16)</f>
        <v>0</v>
      </c>
    </row>
    <row r="17" spans="2:10">
      <c r="B17" t="s">
        <v>283</v>
      </c>
    </row>
    <row r="18" spans="2:10">
      <c r="F18" s="14" t="s">
        <v>284</v>
      </c>
      <c r="I18">
        <f>+算出表!F24</f>
        <v>0</v>
      </c>
    </row>
    <row r="19" spans="2:10">
      <c r="D19" t="s">
        <v>11</v>
      </c>
      <c r="E19" s="13" t="s">
        <v>285</v>
      </c>
      <c r="F19" s="43">
        <v>0.05</v>
      </c>
      <c r="G19" s="12"/>
      <c r="H19" s="12"/>
      <c r="I19">
        <f>IF($I$18=D19,F19,0)</f>
        <v>0</v>
      </c>
    </row>
    <row r="20" spans="2:10">
      <c r="D20" t="s">
        <v>1</v>
      </c>
      <c r="E20" s="13" t="s">
        <v>286</v>
      </c>
      <c r="F20" s="43">
        <v>0.15</v>
      </c>
      <c r="G20" s="12"/>
      <c r="H20" s="12"/>
      <c r="I20">
        <f t="shared" ref="I20:I28" si="1">IF($I$18=D20,F20,0)</f>
        <v>0</v>
      </c>
    </row>
    <row r="21" spans="2:10">
      <c r="D21" t="s">
        <v>12</v>
      </c>
      <c r="E21" s="13" t="s">
        <v>287</v>
      </c>
      <c r="F21" s="43">
        <v>0.25</v>
      </c>
      <c r="G21" s="12"/>
      <c r="H21" s="12"/>
      <c r="I21">
        <f t="shared" si="1"/>
        <v>0</v>
      </c>
    </row>
    <row r="22" spans="2:10">
      <c r="D22" t="s">
        <v>3</v>
      </c>
      <c r="E22" s="13" t="s">
        <v>288</v>
      </c>
      <c r="F22" s="43">
        <v>0.35</v>
      </c>
      <c r="G22" s="12"/>
      <c r="H22" s="12"/>
      <c r="I22">
        <f t="shared" si="1"/>
        <v>0</v>
      </c>
    </row>
    <row r="23" spans="2:10">
      <c r="D23" t="s">
        <v>13</v>
      </c>
      <c r="E23" s="13" t="s">
        <v>289</v>
      </c>
      <c r="F23" s="43">
        <v>0.05</v>
      </c>
      <c r="G23" s="12"/>
      <c r="H23" s="12"/>
      <c r="I23">
        <f t="shared" si="1"/>
        <v>0</v>
      </c>
    </row>
    <row r="24" spans="2:10">
      <c r="D24" t="s">
        <v>14</v>
      </c>
      <c r="E24" s="13" t="s">
        <v>290</v>
      </c>
      <c r="F24" s="43">
        <v>0.15</v>
      </c>
      <c r="G24" s="12"/>
      <c r="H24" s="12"/>
      <c r="I24">
        <f t="shared" si="1"/>
        <v>0</v>
      </c>
    </row>
    <row r="25" spans="2:10">
      <c r="D25" t="s">
        <v>15</v>
      </c>
      <c r="E25" s="13" t="s">
        <v>291</v>
      </c>
      <c r="F25" s="43">
        <v>0.25</v>
      </c>
      <c r="G25" s="12"/>
      <c r="H25" s="12"/>
      <c r="I25">
        <f t="shared" si="1"/>
        <v>0</v>
      </c>
    </row>
    <row r="26" spans="2:10">
      <c r="D26" t="s">
        <v>16</v>
      </c>
      <c r="E26" s="13" t="s">
        <v>292</v>
      </c>
      <c r="F26" s="43">
        <v>0.05</v>
      </c>
      <c r="G26" s="12"/>
      <c r="H26" s="12"/>
      <c r="I26">
        <f t="shared" si="1"/>
        <v>0</v>
      </c>
    </row>
    <row r="27" spans="2:10">
      <c r="D27" t="s">
        <v>293</v>
      </c>
      <c r="E27" s="13" t="s">
        <v>292</v>
      </c>
      <c r="F27" s="43">
        <v>0.1</v>
      </c>
      <c r="G27" s="1"/>
      <c r="H27" s="1"/>
      <c r="I27">
        <f t="shared" si="1"/>
        <v>0</v>
      </c>
    </row>
    <row r="28" spans="2:10">
      <c r="D28" t="s">
        <v>294</v>
      </c>
      <c r="E28" s="13" t="s">
        <v>292</v>
      </c>
      <c r="F28" s="43">
        <v>0.15</v>
      </c>
      <c r="I28">
        <f t="shared" si="1"/>
        <v>0</v>
      </c>
      <c r="J28">
        <f>SUM(I19:I28)</f>
        <v>0</v>
      </c>
    </row>
    <row r="30" spans="2:10">
      <c r="B30" t="s">
        <v>295</v>
      </c>
    </row>
    <row r="32" spans="2:10">
      <c r="B32" t="s">
        <v>296</v>
      </c>
    </row>
    <row r="34" spans="3:10">
      <c r="C34" t="s">
        <v>297</v>
      </c>
    </row>
    <row r="37" spans="3:10">
      <c r="F37" s="44" t="s">
        <v>259</v>
      </c>
      <c r="I37">
        <f>+算出表!F33</f>
        <v>0</v>
      </c>
    </row>
    <row r="38" spans="3:10">
      <c r="D38" t="s">
        <v>260</v>
      </c>
      <c r="E38" t="s">
        <v>298</v>
      </c>
      <c r="F38" s="42">
        <v>100000</v>
      </c>
      <c r="I38">
        <f>IF($I$37=D38,F38/1000,0)</f>
        <v>0</v>
      </c>
    </row>
    <row r="39" spans="3:10">
      <c r="D39" t="s">
        <v>17</v>
      </c>
      <c r="E39" t="s">
        <v>299</v>
      </c>
      <c r="F39" s="42">
        <v>30000</v>
      </c>
      <c r="I39">
        <f>IF($I$37=D39,F39/1000,0)</f>
        <v>0</v>
      </c>
    </row>
    <row r="40" spans="3:10">
      <c r="D40" t="s">
        <v>2</v>
      </c>
      <c r="E40" t="s">
        <v>300</v>
      </c>
      <c r="F40" s="42">
        <v>0</v>
      </c>
      <c r="I40">
        <f>IF($I$37=D40,F40/1000,0)</f>
        <v>0</v>
      </c>
      <c r="J40">
        <f>SUM(I38:I40)</f>
        <v>0</v>
      </c>
    </row>
    <row r="41" spans="3:10">
      <c r="F41" s="42"/>
    </row>
    <row r="42" spans="3:10">
      <c r="C42" t="s">
        <v>301</v>
      </c>
      <c r="F42" s="42"/>
    </row>
    <row r="43" spans="3:10">
      <c r="F43" s="42"/>
    </row>
    <row r="44" spans="3:10">
      <c r="F44" s="42"/>
    </row>
    <row r="45" spans="3:10">
      <c r="F45" s="44" t="s">
        <v>259</v>
      </c>
      <c r="I45">
        <f>+算出表!G43</f>
        <v>0</v>
      </c>
    </row>
    <row r="46" spans="3:10">
      <c r="D46" t="s">
        <v>260</v>
      </c>
      <c r="E46" t="s">
        <v>302</v>
      </c>
      <c r="F46" s="42">
        <v>100000</v>
      </c>
      <c r="G46" t="s">
        <v>303</v>
      </c>
      <c r="I46">
        <f>IF($I$45=D46,F46/1000,0)</f>
        <v>0</v>
      </c>
    </row>
    <row r="47" spans="3:10">
      <c r="D47" t="s">
        <v>18</v>
      </c>
      <c r="E47" t="s">
        <v>304</v>
      </c>
      <c r="F47" s="42">
        <v>50000</v>
      </c>
      <c r="G47" t="s">
        <v>305</v>
      </c>
      <c r="I47">
        <f>IF($I$45=D47,F47/1000,0)</f>
        <v>0</v>
      </c>
    </row>
    <row r="48" spans="3:10">
      <c r="D48" t="s">
        <v>306</v>
      </c>
      <c r="E48" t="s">
        <v>307</v>
      </c>
      <c r="F48" s="42">
        <v>30000</v>
      </c>
      <c r="G48" t="s">
        <v>308</v>
      </c>
      <c r="I48">
        <f>IF($I$45=D48,F48/1000,0)</f>
        <v>0</v>
      </c>
    </row>
    <row r="49" spans="3:10">
      <c r="D49" t="s">
        <v>309</v>
      </c>
      <c r="E49" t="s">
        <v>310</v>
      </c>
      <c r="F49" s="42">
        <v>0</v>
      </c>
      <c r="G49" t="s">
        <v>311</v>
      </c>
      <c r="I49">
        <f>IF($I$45=D49,F49/1000,0)</f>
        <v>0</v>
      </c>
    </row>
    <row r="50" spans="3:10">
      <c r="D50" t="s">
        <v>312</v>
      </c>
      <c r="E50" t="s">
        <v>313</v>
      </c>
      <c r="F50" s="42">
        <v>30000</v>
      </c>
      <c r="J50">
        <f>SUM(I46:I50)</f>
        <v>0</v>
      </c>
    </row>
    <row r="51" spans="3:10">
      <c r="F51" s="42"/>
    </row>
    <row r="52" spans="3:10">
      <c r="C52" t="s">
        <v>314</v>
      </c>
      <c r="F52" s="42"/>
      <c r="G52" t="s">
        <v>315</v>
      </c>
    </row>
    <row r="53" spans="3:10">
      <c r="F53" s="42"/>
      <c r="G53" t="s">
        <v>316</v>
      </c>
    </row>
    <row r="54" spans="3:10">
      <c r="F54" s="42"/>
      <c r="G54" t="s">
        <v>317</v>
      </c>
    </row>
    <row r="55" spans="3:10">
      <c r="F55" s="42"/>
    </row>
    <row r="56" spans="3:10">
      <c r="F56" s="44" t="s">
        <v>259</v>
      </c>
      <c r="I56">
        <f>+算出表!G60</f>
        <v>0</v>
      </c>
    </row>
    <row r="57" spans="3:10">
      <c r="D57" t="s">
        <v>318</v>
      </c>
      <c r="E57" t="s">
        <v>319</v>
      </c>
      <c r="F57" s="42">
        <v>200000</v>
      </c>
      <c r="I57">
        <f>IF($I$56=D57,F57/1000,0)</f>
        <v>0</v>
      </c>
    </row>
    <row r="58" spans="3:10">
      <c r="D58" t="s">
        <v>19</v>
      </c>
      <c r="E58" t="s">
        <v>320</v>
      </c>
      <c r="F58" s="42">
        <v>100000</v>
      </c>
      <c r="I58">
        <f t="shared" ref="I58:I63" si="2">IF($I$56=D58,F58/1000,0)</f>
        <v>0</v>
      </c>
    </row>
    <row r="59" spans="3:10">
      <c r="D59" t="s">
        <v>321</v>
      </c>
      <c r="E59" t="s">
        <v>304</v>
      </c>
      <c r="F59" s="42">
        <v>50000</v>
      </c>
      <c r="I59">
        <f t="shared" si="2"/>
        <v>0</v>
      </c>
    </row>
    <row r="60" spans="3:10">
      <c r="D60" t="s">
        <v>306</v>
      </c>
      <c r="E60" t="s">
        <v>307</v>
      </c>
      <c r="F60" s="42">
        <v>0</v>
      </c>
      <c r="I60">
        <f t="shared" si="2"/>
        <v>0</v>
      </c>
    </row>
    <row r="61" spans="3:10">
      <c r="D61" t="s">
        <v>309</v>
      </c>
      <c r="E61" t="s">
        <v>322</v>
      </c>
      <c r="F61" s="42">
        <v>-100000</v>
      </c>
      <c r="I61">
        <f t="shared" si="2"/>
        <v>0</v>
      </c>
    </row>
    <row r="62" spans="3:10">
      <c r="D62" t="s">
        <v>312</v>
      </c>
      <c r="E62" t="s">
        <v>323</v>
      </c>
      <c r="F62" s="42">
        <v>-200000</v>
      </c>
      <c r="I62">
        <f t="shared" si="2"/>
        <v>0</v>
      </c>
    </row>
    <row r="63" spans="3:10">
      <c r="D63" t="s">
        <v>20</v>
      </c>
      <c r="E63" t="s">
        <v>324</v>
      </c>
      <c r="F63" s="42">
        <v>0</v>
      </c>
      <c r="I63">
        <f t="shared" si="2"/>
        <v>0</v>
      </c>
      <c r="J63">
        <f>SUM(I57:I63)</f>
        <v>0</v>
      </c>
    </row>
    <row r="67" spans="2:9">
      <c r="B67" t="s">
        <v>325</v>
      </c>
    </row>
    <row r="69" spans="2:9">
      <c r="C69" t="s">
        <v>326</v>
      </c>
    </row>
    <row r="70" spans="2:9">
      <c r="F70" s="14" t="s">
        <v>284</v>
      </c>
      <c r="I70">
        <f>+算出表!G65</f>
        <v>0</v>
      </c>
    </row>
    <row r="71" spans="2:9">
      <c r="D71" t="s">
        <v>11</v>
      </c>
      <c r="E71" t="s">
        <v>327</v>
      </c>
      <c r="F71" s="43">
        <v>0.2</v>
      </c>
    </row>
    <row r="72" spans="2:9">
      <c r="D72" t="s">
        <v>21</v>
      </c>
      <c r="E72" t="s">
        <v>328</v>
      </c>
      <c r="F72" s="43">
        <v>0.15</v>
      </c>
    </row>
    <row r="73" spans="2:9">
      <c r="D73" t="s">
        <v>22</v>
      </c>
      <c r="E73" t="s">
        <v>329</v>
      </c>
      <c r="F73" s="43">
        <v>0</v>
      </c>
    </row>
    <row r="74" spans="2:9">
      <c r="D74" t="s">
        <v>23</v>
      </c>
      <c r="E74" t="s">
        <v>330</v>
      </c>
      <c r="F74" s="43">
        <v>-0.15</v>
      </c>
    </row>
    <row r="75" spans="2:9">
      <c r="D75" t="s">
        <v>24</v>
      </c>
      <c r="E75" t="s">
        <v>331</v>
      </c>
      <c r="F75" s="43">
        <v>-0.2</v>
      </c>
    </row>
    <row r="76" spans="2:9">
      <c r="F76" s="43"/>
      <c r="I76">
        <f>IF(I70=0,0,IF(I70&lt;1,F71,IF(I70&lt;3,F72,IF(I70&lt;6,F73,IF(I70&lt;12,F74,F75)))))</f>
        <v>0</v>
      </c>
    </row>
    <row r="77" spans="2:9">
      <c r="C77" t="s">
        <v>332</v>
      </c>
      <c r="F77" s="43"/>
    </row>
    <row r="78" spans="2:9">
      <c r="F78" s="44" t="s">
        <v>259</v>
      </c>
      <c r="I78">
        <f>+算出表!G75</f>
        <v>0</v>
      </c>
    </row>
    <row r="79" spans="2:9">
      <c r="D79" t="s">
        <v>260</v>
      </c>
      <c r="E79" t="s">
        <v>333</v>
      </c>
      <c r="F79" s="238">
        <v>100000</v>
      </c>
      <c r="I79">
        <f>IF($I$78=D79,F79/1000,0)</f>
        <v>0</v>
      </c>
    </row>
    <row r="80" spans="2:9">
      <c r="D80" t="s">
        <v>18</v>
      </c>
      <c r="E80" t="s">
        <v>334</v>
      </c>
      <c r="F80" s="238">
        <v>50000</v>
      </c>
      <c r="G80" t="s">
        <v>335</v>
      </c>
      <c r="I80">
        <f>IF($I$78=D80,F80/1000,0)</f>
        <v>0</v>
      </c>
    </row>
    <row r="81" spans="2:10">
      <c r="D81" t="s">
        <v>25</v>
      </c>
      <c r="E81" t="s">
        <v>336</v>
      </c>
      <c r="F81" s="238">
        <v>0</v>
      </c>
      <c r="I81">
        <f>IF($I$78=D81,F81/1000,0)</f>
        <v>0</v>
      </c>
    </row>
    <row r="82" spans="2:10">
      <c r="D82" t="s">
        <v>26</v>
      </c>
      <c r="E82" t="s">
        <v>337</v>
      </c>
      <c r="F82" s="238">
        <v>0</v>
      </c>
      <c r="I82">
        <f>IF($I$78=D82,F82/1000,0)</f>
        <v>0</v>
      </c>
    </row>
    <row r="83" spans="2:10">
      <c r="D83" t="s">
        <v>27</v>
      </c>
      <c r="E83" t="s">
        <v>338</v>
      </c>
      <c r="F83" s="238">
        <v>-50000</v>
      </c>
      <c r="I83">
        <f>IF($I$78=D83,F83/1000,0)</f>
        <v>0</v>
      </c>
      <c r="J83">
        <f>SUM(I79:I83)</f>
        <v>0</v>
      </c>
    </row>
    <row r="85" spans="2:10">
      <c r="C85" t="s">
        <v>339</v>
      </c>
      <c r="G85" t="s">
        <v>340</v>
      </c>
    </row>
    <row r="86" spans="2:10">
      <c r="G86" t="s">
        <v>341</v>
      </c>
    </row>
    <row r="87" spans="2:10">
      <c r="F87" s="44" t="s">
        <v>259</v>
      </c>
      <c r="I87">
        <f>+算出表!G82</f>
        <v>0</v>
      </c>
    </row>
    <row r="88" spans="2:10">
      <c r="D88" t="s">
        <v>260</v>
      </c>
      <c r="F88" s="42">
        <v>90000</v>
      </c>
      <c r="I88">
        <f>IF($I$87=D88,F88/1000,0)</f>
        <v>0</v>
      </c>
    </row>
    <row r="89" spans="2:10">
      <c r="D89" t="s">
        <v>321</v>
      </c>
      <c r="F89" s="42">
        <v>45000</v>
      </c>
      <c r="I89">
        <f>IF($I$87=D89,F89/1000,0)</f>
        <v>0</v>
      </c>
    </row>
    <row r="90" spans="2:10">
      <c r="D90" t="s">
        <v>306</v>
      </c>
      <c r="F90" s="42">
        <v>0</v>
      </c>
      <c r="I90">
        <f>IF($I$87=D90,F90/1000,0)</f>
        <v>0</v>
      </c>
      <c r="J90">
        <f>SUM(I88:I90)</f>
        <v>0</v>
      </c>
    </row>
    <row r="93" spans="2:10">
      <c r="B93" t="s">
        <v>342</v>
      </c>
      <c r="F93" s="42"/>
      <c r="G93" s="42"/>
    </row>
    <row r="94" spans="2:10">
      <c r="E94" t="s">
        <v>343</v>
      </c>
      <c r="F94" s="42"/>
      <c r="G94" s="42"/>
    </row>
    <row r="95" spans="2:10">
      <c r="E95" t="s">
        <v>344</v>
      </c>
      <c r="F95" s="42"/>
      <c r="G95" s="42"/>
    </row>
    <row r="96" spans="2:10">
      <c r="F96" s="42"/>
      <c r="G96" s="42"/>
    </row>
    <row r="97" spans="2:7">
      <c r="B97" t="s">
        <v>345</v>
      </c>
      <c r="F97" s="42"/>
      <c r="G97" s="42"/>
    </row>
    <row r="98" spans="2:7">
      <c r="E98" t="s">
        <v>346</v>
      </c>
      <c r="F98" s="42"/>
      <c r="G98" s="42"/>
    </row>
    <row r="99" spans="2:7">
      <c r="E99" t="s">
        <v>347</v>
      </c>
      <c r="F99" s="42"/>
      <c r="G99" s="42"/>
    </row>
    <row r="100" spans="2:7">
      <c r="E100" t="s">
        <v>348</v>
      </c>
      <c r="F100" s="42"/>
      <c r="G100" s="42"/>
    </row>
    <row r="101" spans="2:7">
      <c r="E101" t="s">
        <v>349</v>
      </c>
      <c r="F101" s="42"/>
      <c r="G101" s="42"/>
    </row>
    <row r="102" spans="2:7">
      <c r="F102" s="42"/>
      <c r="G102" s="42"/>
    </row>
    <row r="103" spans="2:7">
      <c r="B103" t="s">
        <v>350</v>
      </c>
      <c r="F103" s="42"/>
      <c r="G103" s="42"/>
    </row>
    <row r="104" spans="2:7">
      <c r="E104" t="s">
        <v>351</v>
      </c>
      <c r="F104" s="42"/>
      <c r="G104" s="42"/>
    </row>
    <row r="105" spans="2:7">
      <c r="E105" t="s">
        <v>352</v>
      </c>
      <c r="F105" s="42"/>
      <c r="G105" s="42"/>
    </row>
    <row r="106" spans="2:7">
      <c r="E106" t="s">
        <v>353</v>
      </c>
      <c r="F106" s="42"/>
    </row>
    <row r="107" spans="2:7">
      <c r="E107" t="s">
        <v>354</v>
      </c>
      <c r="F107" s="42"/>
    </row>
    <row r="109" spans="2:7">
      <c r="B109" t="s">
        <v>355</v>
      </c>
    </row>
    <row r="110" spans="2:7">
      <c r="E110" t="s">
        <v>356</v>
      </c>
    </row>
    <row r="111" spans="2:7">
      <c r="E111" t="s">
        <v>357</v>
      </c>
    </row>
    <row r="112" spans="2:7">
      <c r="B112" t="s">
        <v>358</v>
      </c>
    </row>
  </sheetData>
  <sheetProtection password="B65B" sheet="1" objects="1" scenarios="1"/>
  <phoneticPr fontId="2"/>
  <printOptions horizontalCentered="1"/>
  <pageMargins left="0.39370078740157483" right="0.39370078740157483" top="0.59055118110236227" bottom="0.59055118110236227"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346</vt:i4>
      </vt:variant>
    </vt:vector>
  </HeadingPairs>
  <TitlesOfParts>
    <vt:vector size="358" baseType="lpstr">
      <vt:lpstr>算出表</vt:lpstr>
      <vt:lpstr>算定書</vt:lpstr>
      <vt:lpstr>TOR</vt:lpstr>
      <vt:lpstr>外注付託依頼書</vt:lpstr>
      <vt:lpstr>_注文書</vt:lpstr>
      <vt:lpstr>_請書</vt:lpstr>
      <vt:lpstr>_注文書 （変更）</vt:lpstr>
      <vt:lpstr>_請書 （変更）</vt:lpstr>
      <vt:lpstr>_請求書</vt:lpstr>
      <vt:lpstr>_案内#2</vt:lpstr>
      <vt:lpstr>期間変更依頼</vt:lpstr>
      <vt:lpstr>算出表用テーブル</vt:lpstr>
      <vt:lpstr>_MM1</vt:lpstr>
      <vt:lpstr>_MM10</vt:lpstr>
      <vt:lpstr>_MM11</vt:lpstr>
      <vt:lpstr>_MM12</vt:lpstr>
      <vt:lpstr>_MM13</vt:lpstr>
      <vt:lpstr>_MM14</vt:lpstr>
      <vt:lpstr>_MM15</vt:lpstr>
      <vt:lpstr>_MM16</vt:lpstr>
      <vt:lpstr>_MM2</vt:lpstr>
      <vt:lpstr>_MM3</vt:lpstr>
      <vt:lpstr>_MM4</vt:lpstr>
      <vt:lpstr>_MM5</vt:lpstr>
      <vt:lpstr>_MM6</vt:lpstr>
      <vt:lpstr>_MM7</vt:lpstr>
      <vt:lpstr>_MM8</vt:lpstr>
      <vt:lpstr>_MM9</vt:lpstr>
      <vt:lpstr>ContractorCode</vt:lpstr>
      <vt:lpstr>ContractorName</vt:lpstr>
      <vt:lpstr>ContractStyle</vt:lpstr>
      <vt:lpstr>DailyForeignRate</vt:lpstr>
      <vt:lpstr>DailyUnitPriceForeign</vt:lpstr>
      <vt:lpstr>DailyUnitPriceYen</vt:lpstr>
      <vt:lpstr>DAY_CALC_MM_TOTAL</vt:lpstr>
      <vt:lpstr>DAY_CALC_OS_TOTAL</vt:lpstr>
      <vt:lpstr>期間変更依頼!ＤＢ状況</vt:lpstr>
      <vt:lpstr>DB状況</vt:lpstr>
      <vt:lpstr>DispatchPersonName</vt:lpstr>
      <vt:lpstr>ETC1ForeignRate</vt:lpstr>
      <vt:lpstr>ETC1UnitPriceForeign</vt:lpstr>
      <vt:lpstr>ETC1UnitPriceYen</vt:lpstr>
      <vt:lpstr>ETC2ForeignRate</vt:lpstr>
      <vt:lpstr>ETC2UnitPriceForeign</vt:lpstr>
      <vt:lpstr>ETC2UnitPriceYen</vt:lpstr>
      <vt:lpstr>ETC3ForeignRate</vt:lpstr>
      <vt:lpstr>ETC3UnitPriceForeign</vt:lpstr>
      <vt:lpstr>ETC3UnitPriceYen</vt:lpstr>
      <vt:lpstr>FRNTotal1</vt:lpstr>
      <vt:lpstr>FRNTotal2</vt:lpstr>
      <vt:lpstr>FRNTotal3</vt:lpstr>
      <vt:lpstr>FRNTotal4</vt:lpstr>
      <vt:lpstr>FRNTotal5</vt:lpstr>
      <vt:lpstr>FRNTotal6</vt:lpstr>
      <vt:lpstr>外注付託依頼書!LST支払条件</vt:lpstr>
      <vt:lpstr>期間変更依頼!M_CC</vt:lpstr>
      <vt:lpstr>M_CC</vt:lpstr>
      <vt:lpstr>M_CC2</vt:lpstr>
      <vt:lpstr>M_CC3</vt:lpstr>
      <vt:lpstr>M_CC4</vt:lpstr>
      <vt:lpstr>期間変更依頼!M_head1</vt:lpstr>
      <vt:lpstr>M_head1</vt:lpstr>
      <vt:lpstr>期間変更依頼!M_head2</vt:lpstr>
      <vt:lpstr>M_head2</vt:lpstr>
      <vt:lpstr>期間変更依頼!M_head3</vt:lpstr>
      <vt:lpstr>M_head3</vt:lpstr>
      <vt:lpstr>期間変更依頼!M_head4</vt:lpstr>
      <vt:lpstr>M_head4</vt:lpstr>
      <vt:lpstr>期間変更依頼!M_head5</vt:lpstr>
      <vt:lpstr>M_head5</vt:lpstr>
      <vt:lpstr>期間変更依頼!M_head6</vt:lpstr>
      <vt:lpstr>M_head6</vt:lpstr>
      <vt:lpstr>期間変更依頼!M_head7</vt:lpstr>
      <vt:lpstr>M_head7</vt:lpstr>
      <vt:lpstr>期間変更依頼!M_Sentence</vt:lpstr>
      <vt:lpstr>M_Sentence</vt:lpstr>
      <vt:lpstr>MMEND1</vt:lpstr>
      <vt:lpstr>MMEND2</vt:lpstr>
      <vt:lpstr>MMSTART1</vt:lpstr>
      <vt:lpstr>MMSTART2</vt:lpstr>
      <vt:lpstr>期間変更依頼!M宛先</vt:lpstr>
      <vt:lpstr>M宛先</vt:lpstr>
      <vt:lpstr>期間変更依頼!M依頼額</vt:lpstr>
      <vt:lpstr>M依頼額</vt:lpstr>
      <vt:lpstr>期間変更依頼!M依頼番号</vt:lpstr>
      <vt:lpstr>M依頼番号</vt:lpstr>
      <vt:lpstr>期間変更依頼!M改め発注額</vt:lpstr>
      <vt:lpstr>M改め発注額</vt:lpstr>
      <vt:lpstr>期間変更依頼!M件名</vt:lpstr>
      <vt:lpstr>M件名</vt:lpstr>
      <vt:lpstr>期間変更依頼!M差出人</vt:lpstr>
      <vt:lpstr>M差出人</vt:lpstr>
      <vt:lpstr>期間変更依頼!M作業科目</vt:lpstr>
      <vt:lpstr>M作業科目</vt:lpstr>
      <vt:lpstr>期間変更依頼!M作業件名</vt:lpstr>
      <vt:lpstr>M作業件名</vt:lpstr>
      <vt:lpstr>期間変更依頼!M仕入先名</vt:lpstr>
      <vt:lpstr>M仕入先名</vt:lpstr>
      <vt:lpstr>期間変更依頼!M本体額</vt:lpstr>
      <vt:lpstr>M本体額</vt:lpstr>
      <vt:lpstr>期間変更依頼!M本文</vt:lpstr>
      <vt:lpstr>M本文</vt:lpstr>
      <vt:lpstr>OriginalContractDay</vt:lpstr>
      <vt:lpstr>OVSEADAYEND1</vt:lpstr>
      <vt:lpstr>OVSEADAYEND2</vt:lpstr>
      <vt:lpstr>OVSEADAYSTART1</vt:lpstr>
      <vt:lpstr>OVSEADAYSTART2</vt:lpstr>
      <vt:lpstr>_請求書!Print_Area</vt:lpstr>
      <vt:lpstr>_請書!Print_Area</vt:lpstr>
      <vt:lpstr>'_請書 （変更）'!Print_Area</vt:lpstr>
      <vt:lpstr>_注文書!Print_Area</vt:lpstr>
      <vt:lpstr>'_注文書 （変更）'!Print_Area</vt:lpstr>
      <vt:lpstr>TOR!Print_Area</vt:lpstr>
      <vt:lpstr>外注付託依頼書!Print_Area</vt:lpstr>
      <vt:lpstr>期間変更依頼!Print_Area</vt:lpstr>
      <vt:lpstr>算出表!Print_Area</vt:lpstr>
      <vt:lpstr>算出表用テーブル!Print_Area</vt:lpstr>
      <vt:lpstr>算定書!Print_Area</vt:lpstr>
      <vt:lpstr>Rate1</vt:lpstr>
      <vt:lpstr>Rate2</vt:lpstr>
      <vt:lpstr>Rate3</vt:lpstr>
      <vt:lpstr>Rate4</vt:lpstr>
      <vt:lpstr>Rate5</vt:lpstr>
      <vt:lpstr>Rate6</vt:lpstr>
      <vt:lpstr>SourceFunds</vt:lpstr>
      <vt:lpstr>StayForeignRate</vt:lpstr>
      <vt:lpstr>StayUnitPriceForeign</vt:lpstr>
      <vt:lpstr>StayUnitPriceYen</vt:lpstr>
      <vt:lpstr>TemplateCount</vt:lpstr>
      <vt:lpstr>TemplateFlag</vt:lpstr>
      <vt:lpstr>WorkContents</vt:lpstr>
      <vt:lpstr>WORKDAYEND1</vt:lpstr>
      <vt:lpstr>WORKDAYEND2</vt:lpstr>
      <vt:lpstr>WORKDAYSTART1</vt:lpstr>
      <vt:lpstr>WORKDAYSTART2</vt:lpstr>
      <vt:lpstr>WorkSubjectCode</vt:lpstr>
      <vt:lpstr>WorkSubjectNameE</vt:lpstr>
      <vt:lpstr>WorkSubjectNameJ</vt:lpstr>
      <vt:lpstr>あ</vt:lpstr>
      <vt:lpstr>い</vt:lpstr>
      <vt:lpstr>期間変更依頼!その他1工数</vt:lpstr>
      <vt:lpstr>期間変更依頼!その他1工数単位</vt:lpstr>
      <vt:lpstr>期間変更依頼!その他1単価</vt:lpstr>
      <vt:lpstr>期間変更依頼!その他2工数</vt:lpstr>
      <vt:lpstr>期間変更依頼!その他2工数単位</vt:lpstr>
      <vt:lpstr>期間変更依頼!その他2単価</vt:lpstr>
      <vt:lpstr>期間変更依頼!その他3工数</vt:lpstr>
      <vt:lpstr>期間変更依頼!その他3工数単位</vt:lpstr>
      <vt:lpstr>期間変更依頼!その他3単価</vt:lpstr>
      <vt:lpstr>その他経費名1</vt:lpstr>
      <vt:lpstr>その他経費名2</vt:lpstr>
      <vt:lpstr>その他経費名3</vt:lpstr>
      <vt:lpstr>ルート</vt:lpstr>
      <vt:lpstr>依頼所属Code</vt:lpstr>
      <vt:lpstr>依頼所属名</vt:lpstr>
      <vt:lpstr>期間変更依頼!依頼担当者Code</vt:lpstr>
      <vt:lpstr>依頼担当者Code</vt:lpstr>
      <vt:lpstr>外注付託依頼書!依頼担当者名</vt:lpstr>
      <vt:lpstr>外注付託依頼書!依頼番号</vt:lpstr>
      <vt:lpstr>期間変更依頼!依頼番号</vt:lpstr>
      <vt:lpstr>依頼番号</vt:lpstr>
      <vt:lpstr>稼働日1</vt:lpstr>
      <vt:lpstr>稼働日10</vt:lpstr>
      <vt:lpstr>稼働日11</vt:lpstr>
      <vt:lpstr>稼働日12</vt:lpstr>
      <vt:lpstr>稼働日13</vt:lpstr>
      <vt:lpstr>稼働日14</vt:lpstr>
      <vt:lpstr>稼働日15</vt:lpstr>
      <vt:lpstr>稼働日16</vt:lpstr>
      <vt:lpstr>稼働日2</vt:lpstr>
      <vt:lpstr>稼働日3</vt:lpstr>
      <vt:lpstr>稼働日4</vt:lpstr>
      <vt:lpstr>稼働日5</vt:lpstr>
      <vt:lpstr>稼働日6</vt:lpstr>
      <vt:lpstr>稼働日7</vt:lpstr>
      <vt:lpstr>稼働日8</vt:lpstr>
      <vt:lpstr>稼働日9</vt:lpstr>
      <vt:lpstr>会社Code</vt:lpstr>
      <vt:lpstr>改め発注金額</vt:lpstr>
      <vt:lpstr>外注購買番号</vt:lpstr>
      <vt:lpstr>勘定Code1</vt:lpstr>
      <vt:lpstr>勘定Code2</vt:lpstr>
      <vt:lpstr>勘定Code3</vt:lpstr>
      <vt:lpstr>勘定Code4</vt:lpstr>
      <vt:lpstr>勘定Code5</vt:lpstr>
      <vt:lpstr>勘定Code6</vt:lpstr>
      <vt:lpstr>勘定Code7</vt:lpstr>
      <vt:lpstr>勘定Code8</vt:lpstr>
      <vt:lpstr>換算基準金額1</vt:lpstr>
      <vt:lpstr>居住区分</vt:lpstr>
      <vt:lpstr>契約交渉条件</vt:lpstr>
      <vt:lpstr>期間変更依頼!決裁区分</vt:lpstr>
      <vt:lpstr>決裁区分</vt:lpstr>
      <vt:lpstr>期間変更依頼!決裁日</vt:lpstr>
      <vt:lpstr>決裁日</vt:lpstr>
      <vt:lpstr>決裁年月日</vt:lpstr>
      <vt:lpstr>件名</vt:lpstr>
      <vt:lpstr>期間変更依頼!見積額</vt:lpstr>
      <vt:lpstr>見積額</vt:lpstr>
      <vt:lpstr>期間変更依頼!源泉徴収フラグ</vt:lpstr>
      <vt:lpstr>源泉徴収フラグ</vt:lpstr>
      <vt:lpstr>期間変更依頼!工数1</vt:lpstr>
      <vt:lpstr>工数1</vt:lpstr>
      <vt:lpstr>期間変更依頼!工数2</vt:lpstr>
      <vt:lpstr>工数2</vt:lpstr>
      <vt:lpstr>期間変更依頼!工数3</vt:lpstr>
      <vt:lpstr>工数3</vt:lpstr>
      <vt:lpstr>工数4</vt:lpstr>
      <vt:lpstr>工数5</vt:lpstr>
      <vt:lpstr>工数6</vt:lpstr>
      <vt:lpstr>期間変更依頼!工数単位1</vt:lpstr>
      <vt:lpstr>工数単位1</vt:lpstr>
      <vt:lpstr>期間変更依頼!工数単位2</vt:lpstr>
      <vt:lpstr>工数単位2</vt:lpstr>
      <vt:lpstr>期間変更依頼!工数単位3</vt:lpstr>
      <vt:lpstr>工数単位3</vt:lpstr>
      <vt:lpstr>工数単位4</vt:lpstr>
      <vt:lpstr>工数単位5</vt:lpstr>
      <vt:lpstr>工数単位6</vt:lpstr>
      <vt:lpstr>期間変更依頼!更新回数</vt:lpstr>
      <vt:lpstr>更新回数</vt:lpstr>
      <vt:lpstr>航空券支給クラス</vt:lpstr>
      <vt:lpstr>国籍</vt:lpstr>
      <vt:lpstr>作業Code</vt:lpstr>
      <vt:lpstr>作業科目</vt:lpstr>
      <vt:lpstr>期間変更依頼!作業期間至1</vt:lpstr>
      <vt:lpstr>作業期間至1</vt:lpstr>
      <vt:lpstr>作業期間至10</vt:lpstr>
      <vt:lpstr>作業期間至11</vt:lpstr>
      <vt:lpstr>作業期間至12</vt:lpstr>
      <vt:lpstr>作業期間至13</vt:lpstr>
      <vt:lpstr>作業期間至14</vt:lpstr>
      <vt:lpstr>作業期間至15</vt:lpstr>
      <vt:lpstr>作業期間至16</vt:lpstr>
      <vt:lpstr>作業期間至2</vt:lpstr>
      <vt:lpstr>作業期間至3</vt:lpstr>
      <vt:lpstr>作業期間至4</vt:lpstr>
      <vt:lpstr>作業期間至5</vt:lpstr>
      <vt:lpstr>作業期間至6</vt:lpstr>
      <vt:lpstr>作業期間至7</vt:lpstr>
      <vt:lpstr>作業期間至8</vt:lpstr>
      <vt:lpstr>作業期間至9</vt:lpstr>
      <vt:lpstr>作業期間自1</vt:lpstr>
      <vt:lpstr>作業期間自10</vt:lpstr>
      <vt:lpstr>作業期間自11</vt:lpstr>
      <vt:lpstr>作業期間自12</vt:lpstr>
      <vt:lpstr>作業期間自13</vt:lpstr>
      <vt:lpstr>作業期間自14</vt:lpstr>
      <vt:lpstr>作業期間自15</vt:lpstr>
      <vt:lpstr>作業期間自16</vt:lpstr>
      <vt:lpstr>作業期間自2</vt:lpstr>
      <vt:lpstr>作業期間自3</vt:lpstr>
      <vt:lpstr>作業期間自4</vt:lpstr>
      <vt:lpstr>作業期間自5</vt:lpstr>
      <vt:lpstr>作業期間自6</vt:lpstr>
      <vt:lpstr>作業期間自7</vt:lpstr>
      <vt:lpstr>作業期間自8</vt:lpstr>
      <vt:lpstr>作業期間自9</vt:lpstr>
      <vt:lpstr>期間変更依頼!作業件名</vt:lpstr>
      <vt:lpstr>作業場所</vt:lpstr>
      <vt:lpstr>作業場所1</vt:lpstr>
      <vt:lpstr>作業場所10</vt:lpstr>
      <vt:lpstr>作業場所11</vt:lpstr>
      <vt:lpstr>作業場所12</vt:lpstr>
      <vt:lpstr>作業場所13</vt:lpstr>
      <vt:lpstr>作業場所14</vt:lpstr>
      <vt:lpstr>作業場所15</vt:lpstr>
      <vt:lpstr>作業場所16</vt:lpstr>
      <vt:lpstr>作業場所2</vt:lpstr>
      <vt:lpstr>作業場所3</vt:lpstr>
      <vt:lpstr>作業場所4</vt:lpstr>
      <vt:lpstr>作業場所5</vt:lpstr>
      <vt:lpstr>作業場所6</vt:lpstr>
      <vt:lpstr>作業場所7</vt:lpstr>
      <vt:lpstr>作業場所8</vt:lpstr>
      <vt:lpstr>作業場所9</vt:lpstr>
      <vt:lpstr>外注付託依頼書!作成日</vt:lpstr>
      <vt:lpstr>期間変更依頼!作成日</vt:lpstr>
      <vt:lpstr>仕入先名</vt:lpstr>
      <vt:lpstr>仕入先名称</vt:lpstr>
      <vt:lpstr>支給区分1</vt:lpstr>
      <vt:lpstr>支給区分2</vt:lpstr>
      <vt:lpstr>支給区分3</vt:lpstr>
      <vt:lpstr>支給区分4</vt:lpstr>
      <vt:lpstr>支給区分5</vt:lpstr>
      <vt:lpstr>支給区分6</vt:lpstr>
      <vt:lpstr>支給方法1</vt:lpstr>
      <vt:lpstr>支給方法2</vt:lpstr>
      <vt:lpstr>支給方法3</vt:lpstr>
      <vt:lpstr>支給方法4</vt:lpstr>
      <vt:lpstr>支給方法5</vt:lpstr>
      <vt:lpstr>期間変更依頼!支払条件</vt:lpstr>
      <vt:lpstr>支払条件</vt:lpstr>
      <vt:lpstr>支払先1</vt:lpstr>
      <vt:lpstr>支払先2</vt:lpstr>
      <vt:lpstr>期間変更依頼!事業領域</vt:lpstr>
      <vt:lpstr>事業領域</vt:lpstr>
      <vt:lpstr>受注BR</vt:lpstr>
      <vt:lpstr>外注付託依頼書!受付日</vt:lpstr>
      <vt:lpstr>期間変更依頼!受付日</vt:lpstr>
      <vt:lpstr>受付日</vt:lpstr>
      <vt:lpstr>従業員区分</vt:lpstr>
      <vt:lpstr>期間変更依頼!出来高区分</vt:lpstr>
      <vt:lpstr>出来高区分</vt:lpstr>
      <vt:lpstr>外注付託依頼書!消費税額</vt:lpstr>
      <vt:lpstr>期間変更依頼!消費税額</vt:lpstr>
      <vt:lpstr>期間変更依頼!消費税率</vt:lpstr>
      <vt:lpstr>消費税率</vt:lpstr>
      <vt:lpstr>期間変更依頼!消費税率combobox</vt:lpstr>
      <vt:lpstr>消費税率combobox</vt:lpstr>
      <vt:lpstr>外注付託依頼書!消費税率List</vt:lpstr>
      <vt:lpstr>期間変更依頼!請求書発行フラグ</vt:lpstr>
      <vt:lpstr>請求書発行フラグ</vt:lpstr>
      <vt:lpstr>期間変更依頼!請書発行フラグ</vt:lpstr>
      <vt:lpstr>請書発行フラグ</vt:lpstr>
      <vt:lpstr>期間変更依頼!単価1</vt:lpstr>
      <vt:lpstr>単価1</vt:lpstr>
      <vt:lpstr>期間変更依頼!単価2</vt:lpstr>
      <vt:lpstr>期間変更依頼!単価3</vt:lpstr>
      <vt:lpstr>期間変更依頼!単価4</vt:lpstr>
      <vt:lpstr>担当業務</vt:lpstr>
      <vt:lpstr>担当社員Code</vt:lpstr>
      <vt:lpstr>期間変更依頼!注文書発行フラグ</vt:lpstr>
      <vt:lpstr>注文書発行フラグ</vt:lpstr>
      <vt:lpstr>期間変更依頼!通貨区分1</vt:lpstr>
      <vt:lpstr>通貨区分1</vt:lpstr>
      <vt:lpstr>期間変更依頼!通貨区分2</vt:lpstr>
      <vt:lpstr>通貨区分2</vt:lpstr>
      <vt:lpstr>期間変更依頼!通貨区分3</vt:lpstr>
      <vt:lpstr>通貨区分3</vt:lpstr>
      <vt:lpstr>期間変更依頼!通貨区分4</vt:lpstr>
      <vt:lpstr>通貨区分4</vt:lpstr>
      <vt:lpstr>期間変更依頼!通貨区分5</vt:lpstr>
      <vt:lpstr>通貨区分5</vt:lpstr>
      <vt:lpstr>期間変更依頼!通貨区分6</vt:lpstr>
      <vt:lpstr>通貨区分6</vt:lpstr>
      <vt:lpstr>期間変更依頼!摘要</vt:lpstr>
      <vt:lpstr>摘要</vt:lpstr>
      <vt:lpstr>特記</vt:lpstr>
      <vt:lpstr>期間変更依頼!納品書発行フラグ</vt:lpstr>
      <vt:lpstr>納品書発行フラグ</vt:lpstr>
      <vt:lpstr>発注BR</vt:lpstr>
      <vt:lpstr>期間変更依頼!発注状況</vt:lpstr>
      <vt:lpstr>発注状況</vt:lpstr>
      <vt:lpstr>期間変更依頼!発注担当者Code</vt:lpstr>
      <vt:lpstr>発注担当者Code</vt:lpstr>
      <vt:lpstr>期間変更依頼!発注年月日</vt:lpstr>
      <vt:lpstr>発注年月日</vt:lpstr>
      <vt:lpstr>発注率</vt:lpstr>
      <vt:lpstr>備考1</vt:lpstr>
      <vt:lpstr>備考2</vt:lpstr>
      <vt:lpstr>備考3</vt:lpstr>
      <vt:lpstr>備考4</vt:lpstr>
      <vt:lpstr>変更合計</vt:lpstr>
      <vt:lpstr>外注付託依頼書!本体額</vt:lpstr>
      <vt:lpstr>期間変更依頼!本体額</vt:lpstr>
      <vt:lpstr>予算措置</vt:lpstr>
      <vt:lpstr>旅行傷害保険</vt:lpstr>
    </vt:vector>
  </TitlesOfParts>
  <Company>KOEI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Masanari Ooe</dc:creator>
  <cp:lastModifiedBy>Tetsuya Maeda</cp:lastModifiedBy>
  <cp:lastPrinted>2015-12-14T05:39:57Z</cp:lastPrinted>
  <dcterms:created xsi:type="dcterms:W3CDTF">1999-04-23T04:08:54Z</dcterms:created>
  <dcterms:modified xsi:type="dcterms:W3CDTF">2016-02-22T10:50:05Z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2.2.5</vt:lpwstr>
  </property>
</Properties>
</file>