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45" yWindow="9330" windowWidth="18975" windowHeight="12945" tabRatio="746"/>
  </bookViews>
  <sheets>
    <sheet name="NY paid" sheetId="13" r:id="rId1"/>
    <sheet name="All sub-Consultant" sheetId="11" r:id="rId2"/>
    <sheet name="Sheet1" sheetId="12" r:id="rId3"/>
  </sheets>
  <definedNames>
    <definedName name="_xlnm._FilterDatabase" localSheetId="1" hidden="1">'All sub-Consultant'!$A$4:$CC$71</definedName>
    <definedName name="_xlnm._FilterDatabase" localSheetId="0" hidden="1">'NY paid'!$A$4:$CC$19</definedName>
    <definedName name="_xlnm.Print_Titles" localSheetId="1">'All sub-Consultant'!$4:$6</definedName>
    <definedName name="_xlnm.Print_Titles" localSheetId="0">'NY paid'!$4:$6</definedName>
  </definedNames>
  <calcPr calcId="145621"/>
  <fileRecoveryPr autoRecover="0"/>
</workbook>
</file>

<file path=xl/calcChain.xml><?xml version="1.0" encoding="utf-8"?>
<calcChain xmlns="http://schemas.openxmlformats.org/spreadsheetml/2006/main">
  <c r="BV18" i="13" l="1"/>
  <c r="BV19" i="13"/>
  <c r="BR51" i="11"/>
  <c r="BR46" i="11"/>
  <c r="L35" i="11"/>
  <c r="BV35" i="11"/>
  <c r="BV29" i="11" l="1"/>
  <c r="BN16" i="13" l="1"/>
  <c r="AL17" i="13"/>
  <c r="AP17" i="13" s="1"/>
  <c r="AQ17" i="13" s="1"/>
  <c r="AE17" i="13"/>
  <c r="AI17" i="13" s="1"/>
  <c r="X17" i="13"/>
  <c r="V17" i="13"/>
  <c r="CA17" i="13" s="1"/>
  <c r="K17" i="13"/>
  <c r="U17" i="13" s="1"/>
  <c r="CC16" i="13"/>
  <c r="CB16" i="13"/>
  <c r="BX16" i="13"/>
  <c r="BT16" i="13"/>
  <c r="BP16" i="13"/>
  <c r="BM16" i="13"/>
  <c r="BL16" i="13"/>
  <c r="BK16" i="13"/>
  <c r="BJ16" i="13"/>
  <c r="BI16" i="13"/>
  <c r="BH16" i="13"/>
  <c r="BG16" i="13"/>
  <c r="BF16" i="13"/>
  <c r="BE16" i="13"/>
  <c r="BD16" i="13"/>
  <c r="BC16" i="13"/>
  <c r="BB16" i="13"/>
  <c r="BA16" i="13"/>
  <c r="AZ16" i="13"/>
  <c r="AY16" i="13"/>
  <c r="AU16" i="13"/>
  <c r="AT16" i="13"/>
  <c r="AS16" i="13"/>
  <c r="AR16" i="13"/>
  <c r="AN16" i="13"/>
  <c r="AM16" i="13"/>
  <c r="AK16" i="13"/>
  <c r="AG16" i="13"/>
  <c r="AF16" i="13"/>
  <c r="AD16" i="13"/>
  <c r="Z16" i="13"/>
  <c r="Y16" i="13"/>
  <c r="T16" i="13"/>
  <c r="S16" i="13"/>
  <c r="R16" i="13"/>
  <c r="Q16" i="13"/>
  <c r="P16" i="13"/>
  <c r="O16" i="13"/>
  <c r="N16" i="13"/>
  <c r="M16" i="13"/>
  <c r="L16" i="13"/>
  <c r="J16" i="13"/>
  <c r="AP15" i="13"/>
  <c r="AQ15" i="13" s="1"/>
  <c r="AO15" i="13"/>
  <c r="AI15" i="13"/>
  <c r="AJ15" i="13" s="1"/>
  <c r="AH15" i="13"/>
  <c r="X15" i="13"/>
  <c r="V15" i="13"/>
  <c r="CA15" i="13" s="1"/>
  <c r="L15" i="13"/>
  <c r="M15" i="13" s="1"/>
  <c r="U15" i="13" s="1"/>
  <c r="AP14" i="13"/>
  <c r="AQ14" i="13" s="1"/>
  <c r="AO14" i="13"/>
  <c r="AI14" i="13"/>
  <c r="AJ14" i="13" s="1"/>
  <c r="AH14" i="13"/>
  <c r="X14" i="13"/>
  <c r="V14" i="13"/>
  <c r="CA14" i="13" s="1"/>
  <c r="K14" i="13"/>
  <c r="U14" i="13" s="1"/>
  <c r="AP13" i="13"/>
  <c r="AQ13" i="13" s="1"/>
  <c r="AO13" i="13"/>
  <c r="X13" i="13"/>
  <c r="AA13" i="13" s="1"/>
  <c r="V13" i="13"/>
  <c r="CA13" i="13" s="1"/>
  <c r="J13" i="13"/>
  <c r="AP12" i="13"/>
  <c r="AQ12" i="13" s="1"/>
  <c r="AM12" i="13"/>
  <c r="AI12" i="13"/>
  <c r="AJ12" i="13" s="1"/>
  <c r="AH12" i="13"/>
  <c r="X12" i="13"/>
  <c r="V12" i="13"/>
  <c r="K12" i="13"/>
  <c r="BG11" i="13"/>
  <c r="BK11" i="13" s="1"/>
  <c r="AZ11" i="13"/>
  <c r="BC11" i="13" s="1"/>
  <c r="AS11" i="13"/>
  <c r="AL11" i="13"/>
  <c r="AP11" i="13" s="1"/>
  <c r="AI11" i="13"/>
  <c r="AJ11" i="13" s="1"/>
  <c r="AH11" i="13"/>
  <c r="AB11" i="13"/>
  <c r="Y11" i="13"/>
  <c r="V11" i="13"/>
  <c r="J11" i="13"/>
  <c r="CC10" i="13"/>
  <c r="BT10" i="13"/>
  <c r="BT18" i="13" s="1"/>
  <c r="BP10" i="13"/>
  <c r="BP18" i="13" s="1"/>
  <c r="BO10" i="13"/>
  <c r="BN10" i="13"/>
  <c r="BM10" i="13"/>
  <c r="BI10" i="13"/>
  <c r="BH10" i="13"/>
  <c r="BF10" i="13"/>
  <c r="BB10" i="13"/>
  <c r="BA10" i="13"/>
  <c r="AY10" i="13"/>
  <c r="AY18" i="13" s="1"/>
  <c r="AU10" i="13"/>
  <c r="AT10" i="13"/>
  <c r="AS10" i="13"/>
  <c r="AR10" i="13"/>
  <c r="AN10" i="13"/>
  <c r="AK10" i="13"/>
  <c r="AG10" i="13"/>
  <c r="AF10" i="13"/>
  <c r="AD10" i="13"/>
  <c r="Z10" i="13"/>
  <c r="T10" i="13"/>
  <c r="S10" i="13"/>
  <c r="S18" i="13" s="1"/>
  <c r="R10" i="13"/>
  <c r="Q10" i="13"/>
  <c r="Q18" i="13" s="1"/>
  <c r="O10" i="13"/>
  <c r="J10" i="13"/>
  <c r="J18" i="13" s="1"/>
  <c r="CC9" i="13"/>
  <c r="CB9" i="13"/>
  <c r="CC8" i="13"/>
  <c r="CB8" i="13"/>
  <c r="BA3" i="13"/>
  <c r="U3" i="13"/>
  <c r="BA18" i="13" l="1"/>
  <c r="BM18" i="13"/>
  <c r="AG18" i="13"/>
  <c r="BI18" i="13"/>
  <c r="O18" i="13"/>
  <c r="BF18" i="13"/>
  <c r="U16" i="13"/>
  <c r="BZ17" i="13"/>
  <c r="BB18" i="13"/>
  <c r="BH18" i="13"/>
  <c r="CC18" i="13"/>
  <c r="CB10" i="13"/>
  <c r="CB18" i="13" s="1"/>
  <c r="AD18" i="13"/>
  <c r="AN18" i="13"/>
  <c r="AR18" i="13"/>
  <c r="AT18" i="13"/>
  <c r="AM10" i="13"/>
  <c r="BG10" i="13"/>
  <c r="BG18" i="13" s="1"/>
  <c r="M11" i="13"/>
  <c r="AO11" i="13"/>
  <c r="AV11" i="13"/>
  <c r="BJ11" i="13"/>
  <c r="BJ10" i="13" s="1"/>
  <c r="BJ18" i="13" s="1"/>
  <c r="AO12" i="13"/>
  <c r="L13" i="13"/>
  <c r="W13" i="13"/>
  <c r="BZ15" i="13"/>
  <c r="K16" i="13"/>
  <c r="AL16" i="13"/>
  <c r="BO16" i="13"/>
  <c r="W17" i="13"/>
  <c r="AA17" i="13"/>
  <c r="AH17" i="13"/>
  <c r="AO17" i="13"/>
  <c r="CA16" i="13"/>
  <c r="Z18" i="13"/>
  <c r="AK18" i="13"/>
  <c r="AS18" i="13"/>
  <c r="AU18" i="13"/>
  <c r="Y10" i="13"/>
  <c r="Y18" i="13" s="1"/>
  <c r="CA11" i="13"/>
  <c r="AE13" i="13"/>
  <c r="AW16" i="13"/>
  <c r="AX16" i="13"/>
  <c r="AQ11" i="13"/>
  <c r="BL11" i="13"/>
  <c r="BL10" i="13" s="1"/>
  <c r="BL18" i="13" s="1"/>
  <c r="BK10" i="13"/>
  <c r="BK18" i="13" s="1"/>
  <c r="BN18" i="13"/>
  <c r="V10" i="13"/>
  <c r="X10" i="13"/>
  <c r="AL10" i="13"/>
  <c r="AZ10" i="13"/>
  <c r="AZ18" i="13" s="1"/>
  <c r="W11" i="13"/>
  <c r="AA11" i="13"/>
  <c r="AC11" i="13"/>
  <c r="AW11" i="13"/>
  <c r="BD11" i="13"/>
  <c r="BZ11" i="13"/>
  <c r="BC10" i="13"/>
  <c r="BC18" i="13" s="1"/>
  <c r="U12" i="13"/>
  <c r="W12" i="13"/>
  <c r="AA12" i="13"/>
  <c r="BZ12" i="13"/>
  <c r="AB13" i="13"/>
  <c r="W14" i="13"/>
  <c r="AA14" i="13"/>
  <c r="BZ14" i="13"/>
  <c r="W15" i="13"/>
  <c r="AA15" i="13"/>
  <c r="X16" i="13"/>
  <c r="AV16" i="13"/>
  <c r="AB12" i="13"/>
  <c r="BV12" i="13" s="1"/>
  <c r="CA12" i="13"/>
  <c r="AB14" i="13"/>
  <c r="BV14" i="13" s="1"/>
  <c r="AB15" i="13"/>
  <c r="AC15" i="13" s="1"/>
  <c r="AP16" i="13"/>
  <c r="AJ17" i="13"/>
  <c r="V16" i="13"/>
  <c r="AB17" i="13"/>
  <c r="BV17" i="13" s="1"/>
  <c r="BV16" i="13" s="1"/>
  <c r="BS16" i="13"/>
  <c r="BS35" i="11"/>
  <c r="BV88" i="11"/>
  <c r="AO16" i="13" l="1"/>
  <c r="AH13" i="13"/>
  <c r="M13" i="13"/>
  <c r="U13" i="13" s="1"/>
  <c r="U11" i="13"/>
  <c r="W16" i="13"/>
  <c r="AI13" i="13"/>
  <c r="AJ13" i="13" s="1"/>
  <c r="BZ13" i="13"/>
  <c r="BR16" i="13"/>
  <c r="CA10" i="13"/>
  <c r="CA18" i="13" s="1"/>
  <c r="AQ16" i="13"/>
  <c r="BU17" i="13"/>
  <c r="BU15" i="13"/>
  <c r="AE10" i="13"/>
  <c r="AA16" i="13"/>
  <c r="BV15" i="13"/>
  <c r="BU14" i="13"/>
  <c r="BR10" i="13"/>
  <c r="BU13" i="13"/>
  <c r="BU12" i="13"/>
  <c r="BE11" i="13"/>
  <c r="BD10" i="13"/>
  <c r="AX11" i="13"/>
  <c r="AW10" i="13"/>
  <c r="AW18" i="13" s="1"/>
  <c r="AA10" i="13"/>
  <c r="AV10" i="13"/>
  <c r="AV18" i="13" s="1"/>
  <c r="AB10" i="13"/>
  <c r="AM18" i="13"/>
  <c r="AF18" i="13"/>
  <c r="V18" i="13"/>
  <c r="BU11" i="13"/>
  <c r="AC17" i="13"/>
  <c r="AC16" i="13" s="1"/>
  <c r="AB16" i="13"/>
  <c r="AC12" i="13"/>
  <c r="AC10" i="13" s="1"/>
  <c r="K10" i="13"/>
  <c r="AO10" i="13"/>
  <c r="W10" i="13"/>
  <c r="W18" i="13" s="1"/>
  <c r="BO18" i="13"/>
  <c r="AL18" i="13"/>
  <c r="X18" i="13"/>
  <c r="BZ10" i="13"/>
  <c r="BV13" i="13"/>
  <c r="AP10" i="13"/>
  <c r="BV11" i="13"/>
  <c r="BQ25" i="11"/>
  <c r="BQ35" i="11"/>
  <c r="BQ36" i="11"/>
  <c r="BR43" i="11"/>
  <c r="BS43" i="11" s="1"/>
  <c r="BQ43" i="11"/>
  <c r="AO18" i="13" l="1"/>
  <c r="BV10" i="13"/>
  <c r="M10" i="13"/>
  <c r="AI10" i="13"/>
  <c r="AA18" i="13"/>
  <c r="AB18" i="13"/>
  <c r="BD18" i="13"/>
  <c r="BR18" i="13"/>
  <c r="AP18" i="13"/>
  <c r="AH10" i="13"/>
  <c r="BU10" i="13"/>
  <c r="AX10" i="13"/>
  <c r="AC18" i="13"/>
  <c r="M18" i="13"/>
  <c r="L10" i="13"/>
  <c r="L18" i="13" s="1"/>
  <c r="K18" i="13"/>
  <c r="BZ3" i="13"/>
  <c r="AQ10" i="13"/>
  <c r="U10" i="13"/>
  <c r="U18" i="13" s="1"/>
  <c r="BE10" i="13"/>
  <c r="BS10" i="13"/>
  <c r="AE16" i="13"/>
  <c r="AE18" i="13" s="1"/>
  <c r="BU16" i="13"/>
  <c r="BZ16" i="13"/>
  <c r="V29" i="11"/>
  <c r="T19" i="13" l="1"/>
  <c r="BU18" i="13"/>
  <c r="BU19" i="13" s="1"/>
  <c r="AX18" i="13"/>
  <c r="AH16" i="13"/>
  <c r="AH18" i="13" s="1"/>
  <c r="BE18" i="13"/>
  <c r="AQ18" i="13"/>
  <c r="AI16" i="13"/>
  <c r="AI18" i="13" s="1"/>
  <c r="AJ10" i="13"/>
  <c r="BS18" i="13"/>
  <c r="BZ18" i="13"/>
  <c r="N10" i="13"/>
  <c r="W29" i="11"/>
  <c r="CA110" i="11"/>
  <c r="AE110" i="11"/>
  <c r="AH110" i="11" s="1"/>
  <c r="AB110" i="11"/>
  <c r="AC110" i="11" s="1"/>
  <c r="AA110" i="11"/>
  <c r="W110" i="11"/>
  <c r="U110" i="11"/>
  <c r="P10" i="13" l="1"/>
  <c r="P18" i="13" s="1"/>
  <c r="N18" i="13"/>
  <c r="AJ16" i="13"/>
  <c r="AJ18" i="13" s="1"/>
  <c r="R18" i="13"/>
  <c r="T18" i="13"/>
  <c r="AI110" i="11"/>
  <c r="BU110" i="11" s="1"/>
  <c r="AE60" i="11"/>
  <c r="AI60" i="11" s="1"/>
  <c r="AJ60" i="11" s="1"/>
  <c r="W60" i="11"/>
  <c r="W59" i="11"/>
  <c r="AH60" i="11" l="1"/>
  <c r="BV110" i="11"/>
  <c r="AP100" i="11"/>
  <c r="AQ100" i="11" s="1"/>
  <c r="AM100" i="11"/>
  <c r="AO100" i="11" s="1"/>
  <c r="AI100" i="11"/>
  <c r="AJ100" i="11" s="1"/>
  <c r="AH100" i="11"/>
  <c r="X100" i="11"/>
  <c r="V100" i="11"/>
  <c r="W100" i="11" s="1"/>
  <c r="K100" i="11"/>
  <c r="U100" i="11" s="1"/>
  <c r="AE102" i="11"/>
  <c r="AI102" i="11" s="1"/>
  <c r="AJ102" i="11" s="1"/>
  <c r="AC102" i="11"/>
  <c r="X102" i="11"/>
  <c r="V102" i="11"/>
  <c r="W102" i="11" s="1"/>
  <c r="K102" i="11"/>
  <c r="U102" i="11" s="1"/>
  <c r="BG109" i="11"/>
  <c r="BK109" i="11" s="1"/>
  <c r="AZ109" i="11"/>
  <c r="BD109" i="11" s="1"/>
  <c r="BE109" i="11" s="1"/>
  <c r="AS109" i="11"/>
  <c r="AW109" i="11" s="1"/>
  <c r="AX109" i="11" s="1"/>
  <c r="AL109" i="11"/>
  <c r="AP109" i="11" s="1"/>
  <c r="AI109" i="11"/>
  <c r="AH109" i="11"/>
  <c r="AB109" i="11"/>
  <c r="Y109" i="11"/>
  <c r="AA109" i="11" s="1"/>
  <c r="V109" i="11"/>
  <c r="J109" i="11"/>
  <c r="BU102" i="11" l="1"/>
  <c r="AV109" i="11"/>
  <c r="AO109" i="11"/>
  <c r="BC109" i="11"/>
  <c r="W109" i="11"/>
  <c r="M109" i="11"/>
  <c r="U109" i="11" s="1"/>
  <c r="BU109" i="11"/>
  <c r="BV109" i="11"/>
  <c r="AJ109" i="11"/>
  <c r="AH102" i="11"/>
  <c r="AB100" i="11"/>
  <c r="AC100" i="11" s="1"/>
  <c r="AA100" i="11"/>
  <c r="BV102" i="11"/>
  <c r="AA102" i="11"/>
  <c r="AQ109" i="11"/>
  <c r="AC109" i="11"/>
  <c r="BG54" i="11"/>
  <c r="BH54" i="11"/>
  <c r="BI54" i="11"/>
  <c r="BJ54" i="11"/>
  <c r="BK54" i="11"/>
  <c r="BL54" i="11"/>
  <c r="BM54" i="11"/>
  <c r="BF54" i="11"/>
  <c r="BH28" i="11"/>
  <c r="BI28" i="11"/>
  <c r="BM28" i="11"/>
  <c r="BF28" i="11"/>
  <c r="BG24" i="11"/>
  <c r="BH24" i="11"/>
  <c r="BI24" i="11"/>
  <c r="BJ24" i="11"/>
  <c r="BK24" i="11"/>
  <c r="BL24" i="11"/>
  <c r="BM24" i="11"/>
  <c r="BN24" i="11"/>
  <c r="BF24" i="11"/>
  <c r="BG8" i="11"/>
  <c r="BH8" i="11"/>
  <c r="BI8" i="11"/>
  <c r="BJ8" i="11"/>
  <c r="BK8" i="11"/>
  <c r="BL8" i="11"/>
  <c r="BM8" i="11"/>
  <c r="BF8" i="11"/>
  <c r="BF64" i="11" s="1"/>
  <c r="BH64" i="11" l="1"/>
  <c r="BI64" i="11"/>
  <c r="BM64" i="11"/>
  <c r="BV100" i="11"/>
  <c r="BU100" i="11"/>
  <c r="BG29" i="11"/>
  <c r="BK29" i="11" s="1"/>
  <c r="BL29" i="11" l="1"/>
  <c r="BL28" i="11" s="1"/>
  <c r="BL64" i="11" s="1"/>
  <c r="BK28" i="11"/>
  <c r="BK64" i="11" s="1"/>
  <c r="BJ29" i="11"/>
  <c r="BJ28" i="11" s="1"/>
  <c r="BJ64" i="11" s="1"/>
  <c r="BG28" i="11"/>
  <c r="BG64" i="11" s="1"/>
  <c r="AL114" i="11"/>
  <c r="AE114" i="11"/>
  <c r="AB114" i="11"/>
  <c r="BV60" i="11" l="1"/>
  <c r="AB60" i="11"/>
  <c r="AC60" i="11" s="1"/>
  <c r="BU60" i="11" l="1"/>
  <c r="CA55" i="11"/>
  <c r="AW55" i="11"/>
  <c r="AX55" i="11" s="1"/>
  <c r="AV55" i="11"/>
  <c r="BO61" i="11" l="1"/>
  <c r="BN61" i="11"/>
  <c r="CA59" i="11" l="1"/>
  <c r="CA60" i="11"/>
  <c r="BQ61" i="11"/>
  <c r="BR61" i="11"/>
  <c r="BS61" i="11" s="1"/>
  <c r="AL56" i="11"/>
  <c r="AO56" i="11" s="1"/>
  <c r="AL58" i="11"/>
  <c r="AO58" i="11" s="1"/>
  <c r="BN11" i="11"/>
  <c r="BQ11" i="11" s="1"/>
  <c r="AP58" i="11" l="1"/>
  <c r="BR11" i="11"/>
  <c r="AP56" i="11"/>
  <c r="AQ56" i="11" s="1"/>
  <c r="AP108" i="11"/>
  <c r="AL108" i="11"/>
  <c r="AE108" i="11"/>
  <c r="AI108" i="11" s="1"/>
  <c r="AJ108" i="11" s="1"/>
  <c r="X108" i="11"/>
  <c r="V108" i="11"/>
  <c r="W108" i="11" s="1"/>
  <c r="K108" i="11"/>
  <c r="U108" i="11" s="1"/>
  <c r="AI107" i="11"/>
  <c r="AJ107" i="11" s="1"/>
  <c r="AH107" i="11"/>
  <c r="X107" i="11"/>
  <c r="AA107" i="11" s="1"/>
  <c r="V107" i="11"/>
  <c r="CA107" i="11" s="1"/>
  <c r="K107" i="11"/>
  <c r="U107" i="11" s="1"/>
  <c r="AP106" i="11"/>
  <c r="AQ106" i="11" s="1"/>
  <c r="AO106" i="11"/>
  <c r="AI106" i="11"/>
  <c r="AJ106" i="11" s="1"/>
  <c r="AH106" i="11"/>
  <c r="X106" i="11"/>
  <c r="AB106" i="11" s="1"/>
  <c r="AC106" i="11" s="1"/>
  <c r="V106" i="11"/>
  <c r="L106" i="11"/>
  <c r="M106" i="11" s="1"/>
  <c r="U106" i="11" s="1"/>
  <c r="AP105" i="11"/>
  <c r="AQ105" i="11" s="1"/>
  <c r="AO105" i="11"/>
  <c r="AI105" i="11"/>
  <c r="AJ105" i="11" s="1"/>
  <c r="AH105" i="11"/>
  <c r="X105" i="11"/>
  <c r="BZ105" i="11" s="1"/>
  <c r="V105" i="11"/>
  <c r="CA105" i="11" s="1"/>
  <c r="K105" i="11"/>
  <c r="U105" i="11" s="1"/>
  <c r="AI104" i="11"/>
  <c r="AJ104" i="11" s="1"/>
  <c r="AH104" i="11"/>
  <c r="X104" i="11"/>
  <c r="BZ104" i="11" s="1"/>
  <c r="V104" i="11"/>
  <c r="CA104" i="11" s="1"/>
  <c r="K104" i="11"/>
  <c r="U104" i="11" s="1"/>
  <c r="AI103" i="11"/>
  <c r="AJ103" i="11" s="1"/>
  <c r="AH103" i="11"/>
  <c r="X103" i="11"/>
  <c r="AA103" i="11" s="1"/>
  <c r="V103" i="11"/>
  <c r="CA103" i="11" s="1"/>
  <c r="K103" i="11"/>
  <c r="U103" i="11" s="1"/>
  <c r="CA102" i="11"/>
  <c r="AP101" i="11"/>
  <c r="AQ101" i="11" s="1"/>
  <c r="AO101" i="11"/>
  <c r="X101" i="11"/>
  <c r="AB101" i="11" s="1"/>
  <c r="V101" i="11"/>
  <c r="J101" i="11"/>
  <c r="J98" i="11" s="1"/>
  <c r="BZ100" i="11"/>
  <c r="CA100" i="11"/>
  <c r="CA99" i="11"/>
  <c r="AE99" i="11"/>
  <c r="BZ99" i="11" s="1"/>
  <c r="AA99" i="11"/>
  <c r="W99" i="11"/>
  <c r="U99" i="11"/>
  <c r="BX98" i="11"/>
  <c r="BX112" i="11" s="1"/>
  <c r="BW98" i="11"/>
  <c r="BW112" i="11" s="1"/>
  <c r="BT98" i="11"/>
  <c r="BS98" i="11"/>
  <c r="BS112" i="11" s="1"/>
  <c r="BR98" i="11"/>
  <c r="BQ98" i="11"/>
  <c r="BP98" i="11"/>
  <c r="BO98" i="11"/>
  <c r="BO112" i="11" s="1"/>
  <c r="BN98" i="11"/>
  <c r="BF98" i="11"/>
  <c r="BF112" i="11" s="1"/>
  <c r="BE98" i="11"/>
  <c r="BD98" i="11"/>
  <c r="BD112" i="11" s="1"/>
  <c r="BC98" i="11"/>
  <c r="BB98" i="11"/>
  <c r="BB112" i="11" s="1"/>
  <c r="BA98" i="11"/>
  <c r="AZ98" i="11"/>
  <c r="AZ112" i="11" s="1"/>
  <c r="AY98" i="11"/>
  <c r="AV98" i="11"/>
  <c r="AV112" i="11" s="1"/>
  <c r="AU98" i="11"/>
  <c r="AT98" i="11"/>
  <c r="AR98" i="11"/>
  <c r="AR112" i="11" s="1"/>
  <c r="AN98" i="11"/>
  <c r="AL98" i="11"/>
  <c r="AK98" i="11"/>
  <c r="AG98" i="11"/>
  <c r="AG112" i="11" s="1"/>
  <c r="AF98" i="11"/>
  <c r="AD98" i="11"/>
  <c r="AD112" i="11" s="1"/>
  <c r="Z98" i="11"/>
  <c r="Y98" i="11"/>
  <c r="Y112" i="11" s="1"/>
  <c r="T98" i="11"/>
  <c r="S98" i="11"/>
  <c r="S112" i="11" s="1"/>
  <c r="R98" i="11"/>
  <c r="Q98" i="11"/>
  <c r="Q112" i="11" s="1"/>
  <c r="P98" i="11"/>
  <c r="O98" i="11"/>
  <c r="O112" i="11" s="1"/>
  <c r="N98" i="11"/>
  <c r="AT112" i="11"/>
  <c r="AN112" i="11"/>
  <c r="AF112" i="11"/>
  <c r="Z112" i="11"/>
  <c r="T112" i="11"/>
  <c r="R112" i="11"/>
  <c r="P112" i="11"/>
  <c r="N112" i="11"/>
  <c r="BT85" i="11"/>
  <c r="BP85" i="11"/>
  <c r="BF85" i="11"/>
  <c r="BB85" i="11"/>
  <c r="AY85" i="11"/>
  <c r="AU85" i="11"/>
  <c r="AR85" i="11"/>
  <c r="AN85" i="11"/>
  <c r="AK85" i="11"/>
  <c r="AG85" i="11"/>
  <c r="AD85" i="11"/>
  <c r="Z85" i="11"/>
  <c r="BS84" i="11"/>
  <c r="BR84" i="11"/>
  <c r="BQ84" i="11"/>
  <c r="BO84" i="11"/>
  <c r="BN84" i="11"/>
  <c r="BE84" i="11"/>
  <c r="BD84" i="11"/>
  <c r="BC84" i="11"/>
  <c r="BA84" i="11"/>
  <c r="AZ84" i="11"/>
  <c r="AX84" i="11"/>
  <c r="AW84" i="11"/>
  <c r="AV84" i="11"/>
  <c r="AT84" i="11"/>
  <c r="AS84" i="11"/>
  <c r="AM84" i="11"/>
  <c r="AF84" i="11"/>
  <c r="Y84" i="11"/>
  <c r="T84" i="11"/>
  <c r="S84" i="11"/>
  <c r="R84" i="11"/>
  <c r="Q84" i="11"/>
  <c r="P84" i="11"/>
  <c r="O84" i="11"/>
  <c r="N84" i="11"/>
  <c r="M84" i="11"/>
  <c r="L84" i="11"/>
  <c r="J84" i="11"/>
  <c r="BS83" i="11"/>
  <c r="BR83" i="11"/>
  <c r="BQ83" i="11"/>
  <c r="BO83" i="11"/>
  <c r="BN83" i="11"/>
  <c r="BE83" i="11"/>
  <c r="BD83" i="11"/>
  <c r="BC83" i="11"/>
  <c r="BA83" i="11"/>
  <c r="AZ83" i="11"/>
  <c r="AX83" i="11"/>
  <c r="AW83" i="11"/>
  <c r="AV83" i="11"/>
  <c r="AT83" i="11"/>
  <c r="AS83" i="11"/>
  <c r="AQ83" i="11"/>
  <c r="AP83" i="11"/>
  <c r="AO83" i="11"/>
  <c r="AM83" i="11"/>
  <c r="AL83" i="11"/>
  <c r="AH83" i="11"/>
  <c r="AF83" i="11"/>
  <c r="Y83" i="11"/>
  <c r="V83" i="11"/>
  <c r="T83" i="11"/>
  <c r="S83" i="11"/>
  <c r="R83" i="11"/>
  <c r="Q83" i="11"/>
  <c r="P83" i="11"/>
  <c r="O83" i="11"/>
  <c r="N83" i="11"/>
  <c r="M83" i="11"/>
  <c r="L83" i="11"/>
  <c r="K83" i="11"/>
  <c r="J83" i="11"/>
  <c r="BS82" i="11"/>
  <c r="BR82" i="11"/>
  <c r="BQ82" i="11"/>
  <c r="BO82" i="11"/>
  <c r="BN82" i="11"/>
  <c r="BE82" i="11"/>
  <c r="BD82" i="11"/>
  <c r="BC82" i="11"/>
  <c r="BA82" i="11"/>
  <c r="AZ82" i="11"/>
  <c r="AX82" i="11"/>
  <c r="AW82" i="11"/>
  <c r="AV82" i="11"/>
  <c r="AT82" i="11"/>
  <c r="AS82" i="11"/>
  <c r="AQ82" i="11"/>
  <c r="AP82" i="11"/>
  <c r="AO82" i="11"/>
  <c r="AM82" i="11"/>
  <c r="AL82" i="11"/>
  <c r="AJ82" i="11"/>
  <c r="AI82" i="11"/>
  <c r="AH82" i="11"/>
  <c r="AF82" i="11"/>
  <c r="AE82" i="11"/>
  <c r="AC82" i="11"/>
  <c r="Y82" i="11"/>
  <c r="V82" i="11"/>
  <c r="T82" i="11"/>
  <c r="S82" i="11"/>
  <c r="R82" i="11"/>
  <c r="Q82" i="11"/>
  <c r="P82" i="11"/>
  <c r="O82" i="11"/>
  <c r="N82" i="11"/>
  <c r="M82" i="11"/>
  <c r="L82" i="11"/>
  <c r="J82" i="11"/>
  <c r="BS81" i="11"/>
  <c r="BR81" i="11"/>
  <c r="BQ81" i="11"/>
  <c r="BO81" i="11"/>
  <c r="BN81" i="11"/>
  <c r="BE81" i="11"/>
  <c r="BD81" i="11"/>
  <c r="BC81" i="11"/>
  <c r="BA81" i="11"/>
  <c r="AZ81" i="11"/>
  <c r="AX81" i="11"/>
  <c r="AW81" i="11"/>
  <c r="AV81" i="11"/>
  <c r="AT81" i="11"/>
  <c r="AS81" i="11"/>
  <c r="AM81" i="11"/>
  <c r="AF81" i="11"/>
  <c r="AC81" i="11"/>
  <c r="Y81" i="11"/>
  <c r="T81" i="11"/>
  <c r="S81" i="11"/>
  <c r="R81" i="11"/>
  <c r="Q81" i="11"/>
  <c r="O81" i="11"/>
  <c r="M81" i="11"/>
  <c r="L81" i="11"/>
  <c r="J81" i="11"/>
  <c r="BS80" i="11"/>
  <c r="BR80" i="11"/>
  <c r="BQ80" i="11"/>
  <c r="BO80" i="11"/>
  <c r="BN80" i="11"/>
  <c r="BE80" i="11"/>
  <c r="BD80" i="11"/>
  <c r="BC80" i="11"/>
  <c r="BA80" i="11"/>
  <c r="AZ80" i="11"/>
  <c r="AX80" i="11"/>
  <c r="AW80" i="11"/>
  <c r="AV80" i="11"/>
  <c r="AT80" i="11"/>
  <c r="AS80" i="11"/>
  <c r="AQ80" i="11"/>
  <c r="AP80" i="11"/>
  <c r="AO80" i="11"/>
  <c r="AM80" i="11"/>
  <c r="AL80" i="11"/>
  <c r="AJ80" i="11"/>
  <c r="AI80" i="11"/>
  <c r="AH80" i="11"/>
  <c r="AF80" i="11"/>
  <c r="AE80" i="11"/>
  <c r="AC80" i="11"/>
  <c r="AB80" i="11"/>
  <c r="Y80" i="11"/>
  <c r="X80" i="11"/>
  <c r="W80" i="11"/>
  <c r="V80" i="11"/>
  <c r="T80" i="11"/>
  <c r="S80" i="11"/>
  <c r="R80" i="11"/>
  <c r="Q80" i="11"/>
  <c r="P80" i="11"/>
  <c r="O80" i="11"/>
  <c r="N80" i="11"/>
  <c r="M80" i="11"/>
  <c r="L80" i="11"/>
  <c r="K80" i="11"/>
  <c r="J80" i="11"/>
  <c r="BS79" i="11"/>
  <c r="BR79" i="11"/>
  <c r="BQ79" i="11"/>
  <c r="BO79" i="11"/>
  <c r="BN79" i="11"/>
  <c r="BE79" i="11"/>
  <c r="BD79" i="11"/>
  <c r="BC79" i="11"/>
  <c r="BA79" i="11"/>
  <c r="AZ79" i="11"/>
  <c r="AT79" i="11"/>
  <c r="AM79" i="11"/>
  <c r="AL79" i="11"/>
  <c r="T79" i="11"/>
  <c r="S79" i="11"/>
  <c r="R79" i="11"/>
  <c r="Q79" i="11"/>
  <c r="O79" i="11"/>
  <c r="L79" i="11"/>
  <c r="K79" i="11"/>
  <c r="J79" i="11"/>
  <c r="BS78" i="11"/>
  <c r="BR78" i="11"/>
  <c r="BQ78" i="11"/>
  <c r="BO78" i="11"/>
  <c r="BN78" i="11"/>
  <c r="BE78" i="11"/>
  <c r="BD78" i="11"/>
  <c r="BC78" i="11"/>
  <c r="BA78" i="11"/>
  <c r="AZ78" i="11"/>
  <c r="AX78" i="11"/>
  <c r="AW78" i="11"/>
  <c r="AV78" i="11"/>
  <c r="AT78" i="11"/>
  <c r="AS78" i="11"/>
  <c r="AM78" i="11"/>
  <c r="AF78" i="11"/>
  <c r="Y78" i="11"/>
  <c r="T78" i="11"/>
  <c r="S78" i="11"/>
  <c r="R78" i="11"/>
  <c r="Q78" i="11"/>
  <c r="P78" i="11"/>
  <c r="O78" i="11"/>
  <c r="N78" i="11"/>
  <c r="M78" i="11"/>
  <c r="J78" i="11"/>
  <c r="BO77" i="11"/>
  <c r="BE77" i="11"/>
  <c r="BD77" i="11"/>
  <c r="BC77" i="11"/>
  <c r="BA77" i="11"/>
  <c r="AZ77" i="11"/>
  <c r="AT77" i="11"/>
  <c r="AM77" i="11"/>
  <c r="AF77" i="11"/>
  <c r="Y77" i="11"/>
  <c r="T77" i="11"/>
  <c r="S77" i="11"/>
  <c r="R77" i="11"/>
  <c r="Q77" i="11"/>
  <c r="P77" i="11"/>
  <c r="N77" i="11"/>
  <c r="L77" i="11"/>
  <c r="J77" i="11"/>
  <c r="BS76" i="11"/>
  <c r="BR76" i="11"/>
  <c r="BQ76" i="11"/>
  <c r="BO76" i="11"/>
  <c r="BN76" i="11"/>
  <c r="BE76" i="11"/>
  <c r="BD76" i="11"/>
  <c r="BC76" i="11"/>
  <c r="BA76" i="11"/>
  <c r="AZ76" i="11"/>
  <c r="AX76" i="11"/>
  <c r="AW76" i="11"/>
  <c r="AV76" i="11"/>
  <c r="AT76" i="11"/>
  <c r="AS76" i="11"/>
  <c r="AM76" i="11"/>
  <c r="AL76" i="11"/>
  <c r="AF76" i="11"/>
  <c r="AE76" i="11"/>
  <c r="AC76" i="11"/>
  <c r="AB76" i="11"/>
  <c r="Y76" i="11"/>
  <c r="V76" i="11"/>
  <c r="T76" i="11"/>
  <c r="S76" i="11"/>
  <c r="R76" i="11"/>
  <c r="Q76" i="11"/>
  <c r="P76" i="11"/>
  <c r="O76" i="11"/>
  <c r="N76" i="11"/>
  <c r="M76" i="11"/>
  <c r="L76" i="11"/>
  <c r="K76" i="11"/>
  <c r="J76" i="11"/>
  <c r="BS75" i="11"/>
  <c r="BR75" i="11"/>
  <c r="BQ75" i="11"/>
  <c r="BO75" i="11"/>
  <c r="BN75" i="11"/>
  <c r="BE75" i="11"/>
  <c r="BD75" i="11"/>
  <c r="BC75" i="11"/>
  <c r="BA75" i="11"/>
  <c r="AZ75" i="11"/>
  <c r="AX75" i="11"/>
  <c r="AW75" i="11"/>
  <c r="AV75" i="11"/>
  <c r="AT75" i="11"/>
  <c r="AS75" i="11"/>
  <c r="AM75" i="11"/>
  <c r="AL75" i="11"/>
  <c r="AF75" i="11"/>
  <c r="AE75" i="11"/>
  <c r="AC75" i="11"/>
  <c r="Y75" i="11"/>
  <c r="V75" i="11"/>
  <c r="T75" i="11"/>
  <c r="S75" i="11"/>
  <c r="R75" i="11"/>
  <c r="Q75" i="11"/>
  <c r="P75" i="11"/>
  <c r="O75" i="11"/>
  <c r="N75" i="11"/>
  <c r="M75" i="11"/>
  <c r="L75" i="11"/>
  <c r="J75" i="11"/>
  <c r="BQ74" i="11"/>
  <c r="BE74" i="11"/>
  <c r="BD74" i="11"/>
  <c r="BC74" i="11"/>
  <c r="BA74" i="11"/>
  <c r="AZ74" i="11"/>
  <c r="AX74" i="11"/>
  <c r="AW74" i="11"/>
  <c r="AV74" i="11"/>
  <c r="AT74" i="11"/>
  <c r="AS74" i="11"/>
  <c r="AQ74" i="11"/>
  <c r="AP74" i="11"/>
  <c r="AO74" i="11"/>
  <c r="AM74" i="11"/>
  <c r="AL74" i="11"/>
  <c r="AJ74" i="11"/>
  <c r="AI74" i="11"/>
  <c r="AF74" i="11"/>
  <c r="AE74" i="11"/>
  <c r="Y74" i="11"/>
  <c r="S74" i="11"/>
  <c r="Q74" i="11"/>
  <c r="O74" i="11"/>
  <c r="N74" i="11"/>
  <c r="M74" i="11"/>
  <c r="K74" i="11"/>
  <c r="J74" i="11"/>
  <c r="BS73" i="11"/>
  <c r="BR73" i="11"/>
  <c r="BQ73" i="11"/>
  <c r="BO73" i="11"/>
  <c r="BN73" i="11"/>
  <c r="BE73" i="11"/>
  <c r="BD73" i="11"/>
  <c r="BC73" i="11"/>
  <c r="BA73" i="11"/>
  <c r="AZ73" i="11"/>
  <c r="AX73" i="11"/>
  <c r="AW73" i="11"/>
  <c r="AV73" i="11"/>
  <c r="AT73" i="11"/>
  <c r="AS73" i="11"/>
  <c r="AQ73" i="11"/>
  <c r="AP73" i="11"/>
  <c r="AO73" i="11"/>
  <c r="AM73" i="11"/>
  <c r="AL73" i="11"/>
  <c r="AJ73" i="11"/>
  <c r="AI73" i="11"/>
  <c r="AF73" i="11"/>
  <c r="AE73" i="11"/>
  <c r="AC73" i="11"/>
  <c r="AB73" i="11"/>
  <c r="Y73" i="11"/>
  <c r="X73" i="11"/>
  <c r="V73" i="11"/>
  <c r="T73" i="11"/>
  <c r="S73" i="11"/>
  <c r="R73" i="11"/>
  <c r="Q73" i="11"/>
  <c r="P73" i="11"/>
  <c r="O73" i="11"/>
  <c r="N73" i="11"/>
  <c r="M73" i="11"/>
  <c r="L73" i="11"/>
  <c r="K73" i="11"/>
  <c r="J73" i="11"/>
  <c r="BS72" i="11"/>
  <c r="BR72" i="11"/>
  <c r="BQ72" i="11"/>
  <c r="BO72" i="11"/>
  <c r="BN72" i="11"/>
  <c r="BA72" i="11"/>
  <c r="AZ72" i="11"/>
  <c r="AT72" i="11"/>
  <c r="AM72" i="11"/>
  <c r="AF72" i="11"/>
  <c r="AE72" i="11"/>
  <c r="Y72" i="11"/>
  <c r="T72" i="11"/>
  <c r="S72" i="11"/>
  <c r="R72" i="11"/>
  <c r="Q72" i="11"/>
  <c r="P72" i="11"/>
  <c r="O72" i="11"/>
  <c r="N72" i="11"/>
  <c r="M72" i="11"/>
  <c r="L72" i="11"/>
  <c r="J72" i="11"/>
  <c r="BS71" i="11"/>
  <c r="BR71" i="11"/>
  <c r="BQ71" i="11"/>
  <c r="BO71" i="11"/>
  <c r="BN71" i="11"/>
  <c r="BA71" i="11"/>
  <c r="AT71" i="11"/>
  <c r="T71" i="11"/>
  <c r="S71" i="11"/>
  <c r="R71" i="11"/>
  <c r="Q71" i="11"/>
  <c r="P71" i="11"/>
  <c r="O71" i="11"/>
  <c r="BS70" i="11"/>
  <c r="BR70" i="11"/>
  <c r="BQ70" i="11"/>
  <c r="BO70" i="11"/>
  <c r="BN70" i="11"/>
  <c r="BA70" i="11"/>
  <c r="AT70" i="11"/>
  <c r="Y70" i="11"/>
  <c r="T70" i="11"/>
  <c r="S70" i="11"/>
  <c r="R70" i="11"/>
  <c r="Q70" i="11"/>
  <c r="P70" i="11"/>
  <c r="O70" i="11"/>
  <c r="N70" i="11"/>
  <c r="CA63" i="11"/>
  <c r="BZ63" i="11"/>
  <c r="BV63" i="11"/>
  <c r="BU63" i="11"/>
  <c r="CA62" i="11"/>
  <c r="AL62" i="11"/>
  <c r="AP62" i="11" s="1"/>
  <c r="AQ62" i="11" s="1"/>
  <c r="AE62" i="11"/>
  <c r="AI62" i="11" s="1"/>
  <c r="AJ62" i="11" s="1"/>
  <c r="X62" i="11"/>
  <c r="W62" i="11"/>
  <c r="U62" i="11"/>
  <c r="BU61" i="11"/>
  <c r="U61" i="11"/>
  <c r="L61" i="11"/>
  <c r="BV61" i="11" s="1"/>
  <c r="BV80" i="11"/>
  <c r="BU80" i="11"/>
  <c r="AA60" i="11"/>
  <c r="AA80" i="11" s="1"/>
  <c r="U60" i="11"/>
  <c r="U80" i="11" s="1"/>
  <c r="AE59" i="11"/>
  <c r="AE83" i="11" s="1"/>
  <c r="X59" i="11"/>
  <c r="W83" i="11"/>
  <c r="U59" i="11"/>
  <c r="U83" i="11" s="1"/>
  <c r="AI58" i="11"/>
  <c r="AJ58" i="11" s="1"/>
  <c r="AH58" i="11"/>
  <c r="X58" i="11"/>
  <c r="BZ58" i="11" s="1"/>
  <c r="V58" i="11"/>
  <c r="U58" i="11"/>
  <c r="CA57" i="11"/>
  <c r="X57" i="11"/>
  <c r="W57" i="11"/>
  <c r="U57" i="11"/>
  <c r="AE56" i="11"/>
  <c r="AI56" i="11" s="1"/>
  <c r="X56" i="11"/>
  <c r="V56" i="11"/>
  <c r="W56" i="11" s="1"/>
  <c r="K56" i="11"/>
  <c r="U56" i="11" s="1"/>
  <c r="AP55" i="11"/>
  <c r="AP76" i="11" s="1"/>
  <c r="AO55" i="11"/>
  <c r="AO76" i="11" s="1"/>
  <c r="AI55" i="11"/>
  <c r="AI76" i="11" s="1"/>
  <c r="AH55" i="11"/>
  <c r="AH76" i="11" s="1"/>
  <c r="X55" i="11"/>
  <c r="W55" i="11"/>
  <c r="W76" i="11" s="1"/>
  <c r="U55" i="11"/>
  <c r="U76" i="11" s="1"/>
  <c r="CC54" i="11"/>
  <c r="CB54" i="11"/>
  <c r="BX54" i="11"/>
  <c r="BT54" i="11"/>
  <c r="BS54" i="11"/>
  <c r="BR54" i="11"/>
  <c r="BP54" i="11"/>
  <c r="BO54" i="11"/>
  <c r="BN54" i="11"/>
  <c r="BE54" i="11"/>
  <c r="BD54" i="11"/>
  <c r="BC54" i="11"/>
  <c r="BB54" i="11"/>
  <c r="BA54" i="11"/>
  <c r="AZ54" i="11"/>
  <c r="AY54" i="11"/>
  <c r="AX54" i="11"/>
  <c r="AW54" i="11"/>
  <c r="AV54" i="11"/>
  <c r="AU54" i="11"/>
  <c r="AT54" i="11"/>
  <c r="AS54" i="11"/>
  <c r="AR54" i="11"/>
  <c r="AN54" i="11"/>
  <c r="AM54" i="11"/>
  <c r="AL54" i="11"/>
  <c r="AK54" i="11"/>
  <c r="AG54" i="11"/>
  <c r="AF54" i="11"/>
  <c r="AD54" i="11"/>
  <c r="Z54" i="11"/>
  <c r="Y54" i="11"/>
  <c r="T54" i="11"/>
  <c r="S54" i="11"/>
  <c r="R54" i="11"/>
  <c r="Q54" i="11"/>
  <c r="P54" i="11"/>
  <c r="O54" i="11"/>
  <c r="N54" i="11"/>
  <c r="M54" i="11"/>
  <c r="L54" i="11"/>
  <c r="J54" i="11"/>
  <c r="CA53" i="11"/>
  <c r="BZ53" i="11"/>
  <c r="BV53" i="11"/>
  <c r="BU53" i="11"/>
  <c r="AI52" i="11"/>
  <c r="AH52" i="11"/>
  <c r="X52" i="11"/>
  <c r="V52" i="11"/>
  <c r="CA52" i="11" s="1"/>
  <c r="K52" i="11"/>
  <c r="U52" i="11" s="1"/>
  <c r="AI51" i="11"/>
  <c r="AJ51" i="11" s="1"/>
  <c r="AH51" i="11"/>
  <c r="X51" i="11"/>
  <c r="V51" i="11"/>
  <c r="CA51" i="11" s="1"/>
  <c r="K51" i="11"/>
  <c r="U51" i="11" s="1"/>
  <c r="CA50" i="11"/>
  <c r="X50" i="11"/>
  <c r="X82" i="11" s="1"/>
  <c r="W50" i="11"/>
  <c r="W82" i="11" s="1"/>
  <c r="K50" i="11"/>
  <c r="K82" i="11" s="1"/>
  <c r="AS49" i="11"/>
  <c r="AS79" i="11" s="1"/>
  <c r="AP49" i="11"/>
  <c r="AP79" i="11" s="1"/>
  <c r="AO49" i="11"/>
  <c r="AE49" i="11"/>
  <c r="AC49" i="11"/>
  <c r="Y49" i="11"/>
  <c r="X49" i="11"/>
  <c r="AB49" i="11" s="1"/>
  <c r="V49" i="11"/>
  <c r="V79" i="11" s="1"/>
  <c r="M49" i="11"/>
  <c r="M79" i="11" s="1"/>
  <c r="AP48" i="11"/>
  <c r="AQ48" i="11" s="1"/>
  <c r="AO48" i="11"/>
  <c r="AI48" i="11"/>
  <c r="AJ48" i="11" s="1"/>
  <c r="AH48" i="11"/>
  <c r="X48" i="11"/>
  <c r="V48" i="11"/>
  <c r="CA48" i="11" s="1"/>
  <c r="L48" i="11"/>
  <c r="M48" i="11" s="1"/>
  <c r="U48" i="11" s="1"/>
  <c r="AP47" i="11"/>
  <c r="AQ47" i="11" s="1"/>
  <c r="AO47" i="11"/>
  <c r="AI47" i="11"/>
  <c r="AJ47" i="11" s="1"/>
  <c r="AH47" i="11"/>
  <c r="X47" i="11"/>
  <c r="BZ47" i="11" s="1"/>
  <c r="V47" i="11"/>
  <c r="CA47" i="11" s="1"/>
  <c r="K47" i="11"/>
  <c r="U47" i="11" s="1"/>
  <c r="CB46" i="11"/>
  <c r="CA46" i="11"/>
  <c r="BN46" i="11"/>
  <c r="BN77" i="11" s="1"/>
  <c r="AP46" i="11"/>
  <c r="AQ46" i="11" s="1"/>
  <c r="AO46" i="11"/>
  <c r="AI46" i="11"/>
  <c r="AH46" i="11"/>
  <c r="X46" i="11"/>
  <c r="W46" i="11"/>
  <c r="O46" i="11"/>
  <c r="O77" i="11" s="1"/>
  <c r="K46" i="11"/>
  <c r="CB45" i="11"/>
  <c r="BR45" i="11"/>
  <c r="BS45" i="11" s="1"/>
  <c r="BQ45" i="11"/>
  <c r="AW45" i="11"/>
  <c r="AX45" i="11" s="1"/>
  <c r="AV45" i="11"/>
  <c r="AP45" i="11"/>
  <c r="AQ45" i="11" s="1"/>
  <c r="AO45" i="11"/>
  <c r="AE45" i="11"/>
  <c r="AE77" i="11" s="1"/>
  <c r="AB45" i="11"/>
  <c r="AA45" i="11"/>
  <c r="V45" i="11"/>
  <c r="CA45" i="11" s="1"/>
  <c r="M45" i="11"/>
  <c r="M77" i="11" s="1"/>
  <c r="AL44" i="11"/>
  <c r="AP44" i="11" s="1"/>
  <c r="AQ44" i="11" s="1"/>
  <c r="AE44" i="11"/>
  <c r="AI44" i="11" s="1"/>
  <c r="AJ44" i="11" s="1"/>
  <c r="AJ81" i="11" s="1"/>
  <c r="X44" i="11"/>
  <c r="V44" i="11"/>
  <c r="CA44" i="11" s="1"/>
  <c r="K44" i="11"/>
  <c r="U44" i="11" s="1"/>
  <c r="AI43" i="11"/>
  <c r="AJ43" i="11" s="1"/>
  <c r="AH43" i="11"/>
  <c r="X43" i="11"/>
  <c r="V43" i="11"/>
  <c r="CA43" i="11" s="1"/>
  <c r="K43" i="11"/>
  <c r="U43" i="11" s="1"/>
  <c r="AL42" i="11"/>
  <c r="AP42" i="11" s="1"/>
  <c r="AQ42" i="11" s="1"/>
  <c r="X42" i="11"/>
  <c r="AA42" i="11" s="1"/>
  <c r="V42" i="11"/>
  <c r="CA42" i="11" s="1"/>
  <c r="L42" i="11"/>
  <c r="K42" i="11" s="1"/>
  <c r="AL41" i="11"/>
  <c r="AL81" i="11" s="1"/>
  <c r="AE41" i="11"/>
  <c r="AE81" i="11" s="1"/>
  <c r="X41" i="11"/>
  <c r="AA41" i="11" s="1"/>
  <c r="V41" i="11"/>
  <c r="CA41" i="11" s="1"/>
  <c r="K41" i="11"/>
  <c r="U41" i="11" s="1"/>
  <c r="AL40" i="11"/>
  <c r="AI40" i="11"/>
  <c r="AJ40" i="11" s="1"/>
  <c r="AH40" i="11"/>
  <c r="X40" i="11"/>
  <c r="X78" i="11" s="1"/>
  <c r="V40" i="11"/>
  <c r="L40" i="11"/>
  <c r="L78" i="11" s="1"/>
  <c r="BD39" i="11"/>
  <c r="BD72" i="11" s="1"/>
  <c r="BC39" i="11"/>
  <c r="BC72" i="11" s="1"/>
  <c r="AS39" i="11"/>
  <c r="AL39" i="11"/>
  <c r="AO39" i="11" s="1"/>
  <c r="AI39" i="11"/>
  <c r="AH39" i="11"/>
  <c r="X39" i="11"/>
  <c r="AA39" i="11" s="1"/>
  <c r="V39" i="11"/>
  <c r="CA39" i="11" s="1"/>
  <c r="K39" i="11"/>
  <c r="U39" i="11" s="1"/>
  <c r="CA38" i="11"/>
  <c r="AP38" i="11"/>
  <c r="AO38" i="11"/>
  <c r="AO75" i="11" s="1"/>
  <c r="AI38" i="11"/>
  <c r="AI75" i="11" s="1"/>
  <c r="AH38" i="11"/>
  <c r="AH75" i="11" s="1"/>
  <c r="X38" i="11"/>
  <c r="X75" i="11" s="1"/>
  <c r="W38" i="11"/>
  <c r="W75" i="11" s="1"/>
  <c r="K38" i="11"/>
  <c r="AL37" i="11"/>
  <c r="AO37" i="11" s="1"/>
  <c r="AO72" i="11" s="1"/>
  <c r="AI37" i="11"/>
  <c r="AJ37" i="11" s="1"/>
  <c r="AH37" i="11"/>
  <c r="AH72" i="11" s="1"/>
  <c r="X37" i="11"/>
  <c r="AB37" i="11" s="1"/>
  <c r="V37" i="11"/>
  <c r="K37" i="11"/>
  <c r="AI36" i="11"/>
  <c r="AJ36" i="11" s="1"/>
  <c r="AH36" i="11"/>
  <c r="X36" i="11"/>
  <c r="V36" i="11"/>
  <c r="K36" i="11"/>
  <c r="U36" i="11" s="1"/>
  <c r="AE35" i="11"/>
  <c r="AI35" i="11" s="1"/>
  <c r="AJ35" i="11" s="1"/>
  <c r="AC35" i="11"/>
  <c r="X35" i="11"/>
  <c r="V35" i="11"/>
  <c r="W35" i="11" s="1"/>
  <c r="K35" i="11"/>
  <c r="U35" i="11" s="1"/>
  <c r="AP34" i="11"/>
  <c r="AQ34" i="11" s="1"/>
  <c r="AO34" i="11"/>
  <c r="X34" i="11"/>
  <c r="AA34" i="11" s="1"/>
  <c r="V34" i="11"/>
  <c r="CA34" i="11" s="1"/>
  <c r="J34" i="11"/>
  <c r="J70" i="11" s="1"/>
  <c r="AP33" i="11"/>
  <c r="AQ33" i="11" s="1"/>
  <c r="AM33" i="11"/>
  <c r="AM28" i="11" s="1"/>
  <c r="AI33" i="11"/>
  <c r="AJ33" i="11" s="1"/>
  <c r="AH33" i="11"/>
  <c r="X33" i="11"/>
  <c r="V33" i="11"/>
  <c r="W33" i="11" s="1"/>
  <c r="K33" i="11"/>
  <c r="U33" i="11" s="1"/>
  <c r="AZ32" i="11"/>
  <c r="BC32" i="11" s="1"/>
  <c r="AW32" i="11"/>
  <c r="AX32" i="11" s="1"/>
  <c r="AV32" i="11"/>
  <c r="AP32" i="11"/>
  <c r="AQ32" i="11" s="1"/>
  <c r="AO32" i="11"/>
  <c r="AE32" i="11"/>
  <c r="AI32" i="11" s="1"/>
  <c r="AJ32" i="11" s="1"/>
  <c r="X32" i="11"/>
  <c r="V32" i="11"/>
  <c r="CA32" i="11" s="1"/>
  <c r="K32" i="11"/>
  <c r="K71" i="11" s="1"/>
  <c r="AL31" i="11"/>
  <c r="AL84" i="11" s="1"/>
  <c r="AH31" i="11"/>
  <c r="X31" i="11"/>
  <c r="AA31" i="11" s="1"/>
  <c r="V31" i="11"/>
  <c r="CA31" i="11" s="1"/>
  <c r="K31" i="11"/>
  <c r="U31" i="11" s="1"/>
  <c r="BR30" i="11"/>
  <c r="BS30" i="11" s="1"/>
  <c r="BQ30" i="11"/>
  <c r="AS30" i="11"/>
  <c r="AS77" i="11" s="1"/>
  <c r="AL30" i="11"/>
  <c r="AL77" i="11" s="1"/>
  <c r="AI30" i="11"/>
  <c r="AJ30" i="11" s="1"/>
  <c r="AH30" i="11"/>
  <c r="X30" i="11"/>
  <c r="X77" i="11" s="1"/>
  <c r="V30" i="11"/>
  <c r="K30" i="11"/>
  <c r="K77" i="11" s="1"/>
  <c r="AZ29" i="11"/>
  <c r="AS29" i="11"/>
  <c r="AS71" i="11" s="1"/>
  <c r="AL29" i="11"/>
  <c r="AP29" i="11" s="1"/>
  <c r="AI29" i="11"/>
  <c r="AH29" i="11"/>
  <c r="AB29" i="11"/>
  <c r="Y29" i="11"/>
  <c r="J29" i="11"/>
  <c r="J71" i="11" s="1"/>
  <c r="CC28" i="11"/>
  <c r="CB28" i="11"/>
  <c r="BT28" i="11"/>
  <c r="BP28" i="11"/>
  <c r="BO28" i="11"/>
  <c r="BN28" i="11"/>
  <c r="BB28" i="11"/>
  <c r="BA28" i="11"/>
  <c r="AY28" i="11"/>
  <c r="AU28" i="11"/>
  <c r="AT28" i="11"/>
  <c r="AR28" i="11"/>
  <c r="AN28" i="11"/>
  <c r="AK28" i="11"/>
  <c r="AG28" i="11"/>
  <c r="AF28" i="11"/>
  <c r="AD28" i="11"/>
  <c r="Z28" i="11"/>
  <c r="T28" i="11"/>
  <c r="S28" i="11"/>
  <c r="R28" i="11"/>
  <c r="Q28" i="11"/>
  <c r="BZ27" i="11"/>
  <c r="BV27" i="11"/>
  <c r="BU27" i="11"/>
  <c r="AF27" i="11"/>
  <c r="AF24" i="11" s="1"/>
  <c r="Y27" i="11"/>
  <c r="U27" i="11"/>
  <c r="CA26" i="11"/>
  <c r="BZ26" i="11"/>
  <c r="BV26" i="11"/>
  <c r="BV73" i="11" s="1"/>
  <c r="BU26" i="11"/>
  <c r="BU73" i="11" s="1"/>
  <c r="AH26" i="11"/>
  <c r="AH73" i="11" s="1"/>
  <c r="AA26" i="11"/>
  <c r="AA73" i="11" s="1"/>
  <c r="W26" i="11"/>
  <c r="W73" i="11" s="1"/>
  <c r="U26" i="11"/>
  <c r="U73" i="11" s="1"/>
  <c r="CA25" i="11"/>
  <c r="AE25" i="11"/>
  <c r="AH25" i="11" s="1"/>
  <c r="AA25" i="11"/>
  <c r="W25" i="11"/>
  <c r="U25" i="11"/>
  <c r="CC24" i="11"/>
  <c r="CB24" i="11"/>
  <c r="BT24" i="11"/>
  <c r="BS24" i="11"/>
  <c r="BR24" i="11"/>
  <c r="BP24" i="11"/>
  <c r="BO24" i="11"/>
  <c r="BE24" i="11"/>
  <c r="BD24" i="11"/>
  <c r="BC24" i="11"/>
  <c r="BB24" i="11"/>
  <c r="BA24" i="11"/>
  <c r="AZ24" i="11"/>
  <c r="AY24" i="11"/>
  <c r="AX24" i="11"/>
  <c r="AW24" i="11"/>
  <c r="AV24" i="11"/>
  <c r="AU24" i="11"/>
  <c r="AT24" i="11"/>
  <c r="AS24" i="11"/>
  <c r="AR24" i="11"/>
  <c r="AQ24" i="11"/>
  <c r="AP24" i="11"/>
  <c r="AO24" i="11"/>
  <c r="AN24" i="11"/>
  <c r="AM24" i="11"/>
  <c r="AL24" i="11"/>
  <c r="AK24" i="11"/>
  <c r="AJ24" i="11"/>
  <c r="AG24" i="11"/>
  <c r="AE24" i="11"/>
  <c r="AD24" i="11"/>
  <c r="AC24" i="11"/>
  <c r="AB24" i="11"/>
  <c r="Z24" i="11"/>
  <c r="X24" i="11"/>
  <c r="V24" i="11"/>
  <c r="T24" i="11"/>
  <c r="S24" i="11"/>
  <c r="R24" i="11"/>
  <c r="Q24" i="11"/>
  <c r="P24" i="11"/>
  <c r="O24" i="11"/>
  <c r="N24" i="11"/>
  <c r="M24" i="11"/>
  <c r="L24" i="11"/>
  <c r="K24" i="11"/>
  <c r="J24" i="11"/>
  <c r="AL23" i="11"/>
  <c r="AP23" i="11" s="1"/>
  <c r="AQ23" i="11" s="1"/>
  <c r="AE23" i="11"/>
  <c r="AI23" i="11" s="1"/>
  <c r="X23" i="11"/>
  <c r="V23" i="11"/>
  <c r="CA23" i="11" s="1"/>
  <c r="U23" i="11"/>
  <c r="BN22" i="11"/>
  <c r="BR22" i="11" s="1"/>
  <c r="BS22" i="11" s="1"/>
  <c r="X22" i="11"/>
  <c r="U22" i="11"/>
  <c r="BN21" i="11"/>
  <c r="BR21" i="11" s="1"/>
  <c r="X21" i="11"/>
  <c r="V21" i="11"/>
  <c r="W21" i="11" s="1"/>
  <c r="U21" i="11"/>
  <c r="BN20" i="11"/>
  <c r="BZ20" i="11" s="1"/>
  <c r="AB20" i="11"/>
  <c r="AC20" i="11" s="1"/>
  <c r="AA20" i="11"/>
  <c r="V20" i="11"/>
  <c r="U20" i="11"/>
  <c r="CA19" i="11"/>
  <c r="BV19" i="11"/>
  <c r="BU19" i="11"/>
  <c r="AC19" i="11"/>
  <c r="AA19" i="11"/>
  <c r="W19" i="11"/>
  <c r="U19" i="11"/>
  <c r="L19" i="11"/>
  <c r="L74" i="11" s="1"/>
  <c r="BN18" i="11"/>
  <c r="AH18" i="11"/>
  <c r="AH74" i="11" s="1"/>
  <c r="X18" i="11"/>
  <c r="AA18" i="11" s="1"/>
  <c r="W18" i="11"/>
  <c r="U18" i="11"/>
  <c r="AE17" i="11"/>
  <c r="BZ17" i="11" s="1"/>
  <c r="AB17" i="11"/>
  <c r="Y17" i="11"/>
  <c r="CA17" i="11" s="1"/>
  <c r="U17" i="11"/>
  <c r="AF16" i="11"/>
  <c r="AE16" i="11"/>
  <c r="AI16" i="11" s="1"/>
  <c r="AJ16" i="11" s="1"/>
  <c r="X16" i="11"/>
  <c r="Y16" i="11" s="1"/>
  <c r="W16" i="11"/>
  <c r="U16" i="11"/>
  <c r="N16" i="11"/>
  <c r="N79" i="11" s="1"/>
  <c r="AQ15" i="11"/>
  <c r="AQ79" i="11" s="1"/>
  <c r="AO15" i="11"/>
  <c r="AO79" i="11" s="1"/>
  <c r="AF15" i="11"/>
  <c r="CA15" i="11" s="1"/>
  <c r="AE15" i="11"/>
  <c r="X15" i="11"/>
  <c r="W15" i="11"/>
  <c r="U15" i="11"/>
  <c r="AE14" i="11"/>
  <c r="BZ14" i="11" s="1"/>
  <c r="AB14" i="11"/>
  <c r="AC14" i="11" s="1"/>
  <c r="AA14" i="11"/>
  <c r="U14" i="11"/>
  <c r="AL13" i="11"/>
  <c r="BZ13" i="11" s="1"/>
  <c r="AI13" i="11"/>
  <c r="W13" i="11"/>
  <c r="U13" i="11"/>
  <c r="L13" i="11"/>
  <c r="L71" i="11" s="1"/>
  <c r="AL12" i="11"/>
  <c r="AJ12" i="11"/>
  <c r="AE12" i="11"/>
  <c r="AH12" i="11" s="1"/>
  <c r="X12" i="11"/>
  <c r="V12" i="11"/>
  <c r="U12" i="11"/>
  <c r="AZ11" i="11"/>
  <c r="AZ70" i="11" s="1"/>
  <c r="AS11" i="11"/>
  <c r="AS70" i="11" s="1"/>
  <c r="AP11" i="11"/>
  <c r="AQ11" i="11" s="1"/>
  <c r="AO11" i="11"/>
  <c r="AI11" i="11"/>
  <c r="AJ11" i="11" s="1"/>
  <c r="AF11" i="11"/>
  <c r="AF70" i="11" s="1"/>
  <c r="X11" i="11"/>
  <c r="W11" i="11"/>
  <c r="M11" i="11"/>
  <c r="U11" i="11" s="1"/>
  <c r="AP10" i="11"/>
  <c r="AO10" i="11"/>
  <c r="AH10" i="11"/>
  <c r="X10" i="11"/>
  <c r="V10" i="11"/>
  <c r="U10" i="11"/>
  <c r="N10" i="11"/>
  <c r="N81" i="11" s="1"/>
  <c r="CA9" i="11"/>
  <c r="AL9" i="11"/>
  <c r="AL70" i="11" s="1"/>
  <c r="AI9" i="11"/>
  <c r="AH9" i="11"/>
  <c r="X9" i="11"/>
  <c r="W9" i="11"/>
  <c r="U9" i="11"/>
  <c r="CC8" i="11"/>
  <c r="CC64" i="11" s="1"/>
  <c r="CB8" i="11"/>
  <c r="BT8" i="11"/>
  <c r="BP8" i="11"/>
  <c r="BB8" i="11"/>
  <c r="BB64" i="11" s="1"/>
  <c r="BA8" i="11"/>
  <c r="AY8" i="11"/>
  <c r="AY64" i="11" s="1"/>
  <c r="AU8" i="11"/>
  <c r="AT8" i="11"/>
  <c r="AT64" i="11" s="1"/>
  <c r="AR8" i="11"/>
  <c r="AN8" i="11"/>
  <c r="AN64" i="11" s="1"/>
  <c r="AK8" i="11"/>
  <c r="AG8" i="11"/>
  <c r="AG64" i="11" s="1"/>
  <c r="AD8" i="11"/>
  <c r="Z8" i="11"/>
  <c r="S8" i="11"/>
  <c r="Q8" i="11"/>
  <c r="O8" i="11"/>
  <c r="K8" i="11"/>
  <c r="J8" i="11"/>
  <c r="BA3" i="11"/>
  <c r="V71" i="11" l="1"/>
  <c r="X79" i="11"/>
  <c r="O28" i="11"/>
  <c r="O64" i="11" s="1"/>
  <c r="V77" i="11"/>
  <c r="W36" i="11"/>
  <c r="CA36" i="11"/>
  <c r="V78" i="11"/>
  <c r="AL78" i="11"/>
  <c r="AB36" i="11"/>
  <c r="AC36" i="11" s="1"/>
  <c r="BZ36" i="11"/>
  <c r="AD64" i="11"/>
  <c r="AR64" i="11"/>
  <c r="X81" i="11"/>
  <c r="V54" i="11"/>
  <c r="Y71" i="11"/>
  <c r="CA29" i="11"/>
  <c r="S64" i="11"/>
  <c r="BN8" i="11"/>
  <c r="BN64" i="11" s="1"/>
  <c r="AC29" i="11"/>
  <c r="CA58" i="11"/>
  <c r="W58" i="11"/>
  <c r="X54" i="11"/>
  <c r="J28" i="11"/>
  <c r="J64" i="11" s="1"/>
  <c r="Y28" i="11"/>
  <c r="AL28" i="11"/>
  <c r="V28" i="11"/>
  <c r="K40" i="11"/>
  <c r="K28" i="11" s="1"/>
  <c r="AS98" i="11"/>
  <c r="AS112" i="11" s="1"/>
  <c r="U8" i="11"/>
  <c r="X71" i="11"/>
  <c r="W47" i="11"/>
  <c r="BZ56" i="11"/>
  <c r="W54" i="11"/>
  <c r="AA58" i="11"/>
  <c r="BZ62" i="11"/>
  <c r="AT85" i="11"/>
  <c r="J112" i="11"/>
  <c r="X98" i="11"/>
  <c r="X112" i="11" s="1"/>
  <c r="K54" i="11"/>
  <c r="AJ55" i="11"/>
  <c r="AJ76" i="11" s="1"/>
  <c r="Q85" i="11"/>
  <c r="S85" i="11"/>
  <c r="AU112" i="11"/>
  <c r="AY112" i="11"/>
  <c r="BA112" i="11"/>
  <c r="BC112" i="11"/>
  <c r="V98" i="11"/>
  <c r="V112" i="11" s="1"/>
  <c r="M8" i="11"/>
  <c r="Q64" i="11"/>
  <c r="Z64" i="11"/>
  <c r="AE8" i="11"/>
  <c r="AK64" i="11"/>
  <c r="AU64" i="11"/>
  <c r="BA64" i="11"/>
  <c r="BP64" i="11"/>
  <c r="CB64" i="11"/>
  <c r="BZ9" i="11"/>
  <c r="P10" i="11"/>
  <c r="P81" i="11" s="1"/>
  <c r="V81" i="11"/>
  <c r="BZ11" i="11"/>
  <c r="BN74" i="11"/>
  <c r="V22" i="11"/>
  <c r="W22" i="11" s="1"/>
  <c r="BZ21" i="11"/>
  <c r="X28" i="11"/>
  <c r="AA29" i="11"/>
  <c r="AZ71" i="11"/>
  <c r="AZ85" i="11" s="1"/>
  <c r="BZ33" i="11"/>
  <c r="X76" i="11"/>
  <c r="BZ55" i="11"/>
  <c r="BU55" i="11"/>
  <c r="BV55" i="11"/>
  <c r="U54" i="11"/>
  <c r="BT64" i="11"/>
  <c r="AH24" i="11"/>
  <c r="Y79" i="11"/>
  <c r="Y85" i="11" s="1"/>
  <c r="Y8" i="11"/>
  <c r="BZ16" i="11"/>
  <c r="AL112" i="11"/>
  <c r="W104" i="11"/>
  <c r="AA104" i="11"/>
  <c r="BZ108" i="11"/>
  <c r="AA9" i="11"/>
  <c r="AO9" i="11"/>
  <c r="W12" i="11"/>
  <c r="AA12" i="11"/>
  <c r="AL71" i="11"/>
  <c r="AM13" i="11"/>
  <c r="CA13" i="11" s="1"/>
  <c r="AH16" i="11"/>
  <c r="W23" i="11"/>
  <c r="AO23" i="11"/>
  <c r="AZ28" i="11"/>
  <c r="BZ32" i="11"/>
  <c r="AH32" i="11"/>
  <c r="AA33" i="11"/>
  <c r="L34" i="11"/>
  <c r="L70" i="11" s="1"/>
  <c r="L85" i="11" s="1"/>
  <c r="W34" i="11"/>
  <c r="AH35" i="11"/>
  <c r="AA38" i="11"/>
  <c r="AA75" i="11" s="1"/>
  <c r="BZ41" i="11"/>
  <c r="W42" i="11"/>
  <c r="AO42" i="11"/>
  <c r="BZ46" i="11"/>
  <c r="W49" i="11"/>
  <c r="BA85" i="11"/>
  <c r="AK112" i="11"/>
  <c r="BE112" i="11"/>
  <c r="BP112" i="11"/>
  <c r="BT112" i="11"/>
  <c r="K98" i="11"/>
  <c r="K112" i="11" s="1"/>
  <c r="AH99" i="11"/>
  <c r="AL8" i="11"/>
  <c r="AS8" i="11"/>
  <c r="AZ8" i="11"/>
  <c r="AV11" i="11"/>
  <c r="AV70" i="11" s="1"/>
  <c r="BC11" i="11"/>
  <c r="AE71" i="11"/>
  <c r="N14" i="11"/>
  <c r="N71" i="11" s="1"/>
  <c r="AF14" i="11"/>
  <c r="AF71" i="11" s="1"/>
  <c r="AE79" i="11"/>
  <c r="W20" i="11"/>
  <c r="AA21" i="11"/>
  <c r="AA74" i="11" s="1"/>
  <c r="BO21" i="11"/>
  <c r="BZ23" i="11"/>
  <c r="AA23" i="11"/>
  <c r="U3" i="11"/>
  <c r="U42" i="11"/>
  <c r="BZ25" i="11"/>
  <c r="BD32" i="11"/>
  <c r="BE32" i="11" s="1"/>
  <c r="CA35" i="11"/>
  <c r="BZ38" i="11"/>
  <c r="W39" i="11"/>
  <c r="W40" i="11"/>
  <c r="AA40" i="11"/>
  <c r="AA78" i="11" s="1"/>
  <c r="W41" i="11"/>
  <c r="BZ48" i="11"/>
  <c r="U49" i="11"/>
  <c r="U79" i="11" s="1"/>
  <c r="CA56" i="11"/>
  <c r="AA59" i="11"/>
  <c r="AA83" i="11" s="1"/>
  <c r="AI59" i="11"/>
  <c r="AI83" i="11" s="1"/>
  <c r="AA62" i="11"/>
  <c r="AH62" i="11"/>
  <c r="AO62" i="11"/>
  <c r="AO54" i="11" s="1"/>
  <c r="BZ103" i="11"/>
  <c r="BZ107" i="11"/>
  <c r="CA108" i="11"/>
  <c r="CA109" i="11"/>
  <c r="AH23" i="11"/>
  <c r="CA27" i="11"/>
  <c r="CA24" i="11" s="1"/>
  <c r="AO30" i="11"/>
  <c r="AO77" i="11" s="1"/>
  <c r="AV30" i="11"/>
  <c r="AV77" i="11" s="1"/>
  <c r="W31" i="11"/>
  <c r="U32" i="11"/>
  <c r="W32" i="11"/>
  <c r="AA32" i="11"/>
  <c r="AE34" i="11"/>
  <c r="BZ34" i="11" s="1"/>
  <c r="BE39" i="11"/>
  <c r="BE72" i="11" s="1"/>
  <c r="AO41" i="11"/>
  <c r="AH44" i="11"/>
  <c r="AO44" i="11"/>
  <c r="U46" i="11"/>
  <c r="AA46" i="11"/>
  <c r="BQ46" i="11"/>
  <c r="BQ77" i="11" s="1"/>
  <c r="BQ85" i="11" s="1"/>
  <c r="U50" i="11"/>
  <c r="U82" i="11" s="1"/>
  <c r="AA56" i="11"/>
  <c r="AH56" i="11"/>
  <c r="BN112" i="11"/>
  <c r="AO98" i="11"/>
  <c r="AO112" i="11" s="1"/>
  <c r="BZ102" i="11"/>
  <c r="W103" i="11"/>
  <c r="W105" i="11"/>
  <c r="AA105" i="11"/>
  <c r="W107" i="11"/>
  <c r="AA108" i="11"/>
  <c r="AH108" i="11"/>
  <c r="U24" i="11"/>
  <c r="AA24" i="11"/>
  <c r="AA49" i="11"/>
  <c r="U81" i="11"/>
  <c r="AQ70" i="11"/>
  <c r="AJ38" i="11"/>
  <c r="AJ75" i="11" s="1"/>
  <c r="K78" i="11"/>
  <c r="AA47" i="11"/>
  <c r="BZ49" i="11"/>
  <c r="AJ23" i="11"/>
  <c r="AC37" i="11"/>
  <c r="BS21" i="11"/>
  <c r="AQ29" i="11"/>
  <c r="BU10" i="11"/>
  <c r="CA11" i="11"/>
  <c r="L8" i="11"/>
  <c r="V8" i="11"/>
  <c r="V64" i="11" s="1"/>
  <c r="X8" i="11"/>
  <c r="X64" i="11" s="1"/>
  <c r="AF8" i="11"/>
  <c r="AF64" i="11" s="1"/>
  <c r="X70" i="11"/>
  <c r="AP9" i="11"/>
  <c r="BV9" i="11" s="1"/>
  <c r="W10" i="11"/>
  <c r="AA10" i="11"/>
  <c r="AQ10" i="11"/>
  <c r="CA10" i="11"/>
  <c r="AA11" i="11"/>
  <c r="AH11" i="11"/>
  <c r="AW11" i="11"/>
  <c r="BD11" i="11"/>
  <c r="AM12" i="11"/>
  <c r="CA12" i="11" s="1"/>
  <c r="AP13" i="11"/>
  <c r="AQ13" i="11" s="1"/>
  <c r="AI14" i="11"/>
  <c r="BU14" i="11" s="1"/>
  <c r="W79" i="11"/>
  <c r="AA15" i="11"/>
  <c r="AF79" i="11"/>
  <c r="AF85" i="11" s="1"/>
  <c r="BU15" i="11"/>
  <c r="BZ15" i="11"/>
  <c r="AB16" i="11"/>
  <c r="CA16" i="11"/>
  <c r="P17" i="11"/>
  <c r="P79" i="11" s="1"/>
  <c r="AC17" i="11"/>
  <c r="AH17" i="11"/>
  <c r="U74" i="11"/>
  <c r="X74" i="11"/>
  <c r="BO18" i="11"/>
  <c r="P20" i="11"/>
  <c r="V74" i="11"/>
  <c r="BO20" i="11"/>
  <c r="CA20" i="11" s="1"/>
  <c r="AB21" i="11"/>
  <c r="AC21" i="11" s="1"/>
  <c r="AB22" i="11"/>
  <c r="AC22" i="11" s="1"/>
  <c r="BZ22" i="11"/>
  <c r="AB23" i="11"/>
  <c r="AC23" i="11" s="1"/>
  <c r="W24" i="11"/>
  <c r="Y24" i="11"/>
  <c r="Y64" i="11" s="1"/>
  <c r="AI25" i="11"/>
  <c r="AS28" i="11"/>
  <c r="M29" i="11"/>
  <c r="U29" i="11" s="1"/>
  <c r="U71" i="11" s="1"/>
  <c r="AJ29" i="11"/>
  <c r="AO29" i="11"/>
  <c r="AO71" i="11" s="1"/>
  <c r="AV29" i="11"/>
  <c r="BC29" i="11"/>
  <c r="BZ29" i="11"/>
  <c r="U30" i="11"/>
  <c r="W30" i="11"/>
  <c r="AA30" i="11"/>
  <c r="AA77" i="11" s="1"/>
  <c r="AP30" i="11"/>
  <c r="AW30" i="11"/>
  <c r="CA30" i="11"/>
  <c r="AB31" i="11"/>
  <c r="AO31" i="11"/>
  <c r="AB32" i="11"/>
  <c r="AC32" i="11" s="1"/>
  <c r="AC71" i="11" s="1"/>
  <c r="AM70" i="11"/>
  <c r="AO33" i="11"/>
  <c r="AO70" i="11" s="1"/>
  <c r="M34" i="11"/>
  <c r="U34" i="11" s="1"/>
  <c r="U70" i="11" s="1"/>
  <c r="BU36" i="11"/>
  <c r="AA36" i="11"/>
  <c r="V72" i="11"/>
  <c r="W37" i="11"/>
  <c r="CA37" i="11"/>
  <c r="BZ39" i="11"/>
  <c r="AJ39" i="11"/>
  <c r="AJ72" i="11" s="1"/>
  <c r="AP39" i="11"/>
  <c r="AQ39" i="11" s="1"/>
  <c r="AJ56" i="11"/>
  <c r="CA54" i="11"/>
  <c r="AP12" i="11"/>
  <c r="BU12" i="11" s="1"/>
  <c r="BZ12" i="11"/>
  <c r="AH15" i="11"/>
  <c r="BV15" i="11"/>
  <c r="AI17" i="11"/>
  <c r="AJ17" i="11" s="1"/>
  <c r="AJ79" i="11" s="1"/>
  <c r="BR18" i="11"/>
  <c r="BU18" i="11" s="1"/>
  <c r="BZ18" i="11"/>
  <c r="BR20" i="11"/>
  <c r="BS20" i="11" s="1"/>
  <c r="CA21" i="11"/>
  <c r="AW29" i="11"/>
  <c r="BU29" i="11" s="1"/>
  <c r="BD29" i="11"/>
  <c r="BE29" i="11" s="1"/>
  <c r="BE28" i="11" s="1"/>
  <c r="AB30" i="11"/>
  <c r="BZ30" i="11"/>
  <c r="AP31" i="11"/>
  <c r="BZ31" i="11"/>
  <c r="BZ35" i="11"/>
  <c r="BU35" i="11"/>
  <c r="AA35" i="11"/>
  <c r="BV36" i="11"/>
  <c r="K72" i="11"/>
  <c r="U37" i="11"/>
  <c r="U72" i="11" s="1"/>
  <c r="X72" i="11"/>
  <c r="BZ37" i="11"/>
  <c r="AA37" i="11"/>
  <c r="AA72" i="11" s="1"/>
  <c r="K75" i="11"/>
  <c r="U38" i="11"/>
  <c r="U75" i="11" s="1"/>
  <c r="AP75" i="11"/>
  <c r="AQ38" i="11"/>
  <c r="AQ75" i="11" s="1"/>
  <c r="AS72" i="11"/>
  <c r="AS85" i="11" s="1"/>
  <c r="AW39" i="11"/>
  <c r="AV39" i="11"/>
  <c r="AV72" i="11" s="1"/>
  <c r="U84" i="11"/>
  <c r="K70" i="11"/>
  <c r="V70" i="11"/>
  <c r="AB33" i="11"/>
  <c r="BU33" i="11" s="1"/>
  <c r="CA33" i="11"/>
  <c r="J85" i="11"/>
  <c r="AB34" i="11"/>
  <c r="AI72" i="11"/>
  <c r="AL72" i="11"/>
  <c r="AL85" i="11" s="1"/>
  <c r="AP37" i="11"/>
  <c r="AB38" i="11"/>
  <c r="BV38" i="11" s="1"/>
  <c r="BV75" i="11" s="1"/>
  <c r="AB39" i="11"/>
  <c r="AC39" i="11" s="1"/>
  <c r="AB40" i="11"/>
  <c r="AO40" i="11"/>
  <c r="CA40" i="11"/>
  <c r="K81" i="11"/>
  <c r="AB41" i="11"/>
  <c r="AH41" i="11"/>
  <c r="AP41" i="11"/>
  <c r="AQ41" i="11" s="1"/>
  <c r="AB42" i="11"/>
  <c r="AC42" i="11" s="1"/>
  <c r="AE42" i="11"/>
  <c r="W43" i="11"/>
  <c r="AA43" i="11"/>
  <c r="BZ43" i="11"/>
  <c r="W44" i="11"/>
  <c r="AA44" i="11"/>
  <c r="BZ44" i="11"/>
  <c r="U45" i="11"/>
  <c r="W45" i="11"/>
  <c r="AH45" i="11"/>
  <c r="AH77" i="11" s="1"/>
  <c r="BZ45" i="11"/>
  <c r="AB46" i="11"/>
  <c r="AC46" i="11" s="1"/>
  <c r="AJ46" i="11"/>
  <c r="BR77" i="11"/>
  <c r="AB47" i="11"/>
  <c r="BU47" i="11" s="1"/>
  <c r="W48" i="11"/>
  <c r="AA48" i="11"/>
  <c r="AH49" i="11"/>
  <c r="AV49" i="11"/>
  <c r="AV79" i="11" s="1"/>
  <c r="CA49" i="11"/>
  <c r="AA50" i="11"/>
  <c r="AA82" i="11" s="1"/>
  <c r="BZ50" i="11"/>
  <c r="W51" i="11"/>
  <c r="AA51" i="11"/>
  <c r="BZ51" i="11"/>
  <c r="W52" i="11"/>
  <c r="AA52" i="11"/>
  <c r="AP54" i="11"/>
  <c r="AA55" i="11"/>
  <c r="AQ55" i="11"/>
  <c r="AB56" i="11"/>
  <c r="AA57" i="11"/>
  <c r="AB58" i="11"/>
  <c r="X83" i="11"/>
  <c r="BZ59" i="11"/>
  <c r="AB59" i="11"/>
  <c r="AJ59" i="11"/>
  <c r="AJ83" i="11" s="1"/>
  <c r="U40" i="11"/>
  <c r="U78" i="11" s="1"/>
  <c r="AP40" i="11"/>
  <c r="BZ40" i="11"/>
  <c r="AI41" i="11"/>
  <c r="AI81" i="11" s="1"/>
  <c r="AB43" i="11"/>
  <c r="AC43" i="11" s="1"/>
  <c r="AB44" i="11"/>
  <c r="BV44" i="11" s="1"/>
  <c r="AI45" i="11"/>
  <c r="AJ45" i="11" s="1"/>
  <c r="AB48" i="11"/>
  <c r="AC48" i="11" s="1"/>
  <c r="AW49" i="11"/>
  <c r="AB50" i="11"/>
  <c r="AB82" i="11" s="1"/>
  <c r="AB51" i="11"/>
  <c r="AC51" i="11" s="1"/>
  <c r="K84" i="11"/>
  <c r="V84" i="11"/>
  <c r="X84" i="11"/>
  <c r="AB52" i="11"/>
  <c r="BU52" i="11" s="1"/>
  <c r="BZ52" i="11"/>
  <c r="AB57" i="11"/>
  <c r="AC57" i="11" s="1"/>
  <c r="AB62" i="11"/>
  <c r="AC62" i="11" s="1"/>
  <c r="N85" i="11"/>
  <c r="O85" i="11"/>
  <c r="BN85" i="11"/>
  <c r="BQ112" i="11"/>
  <c r="AM98" i="11"/>
  <c r="AM112" i="11" s="1"/>
  <c r="AI99" i="11"/>
  <c r="AA101" i="11"/>
  <c r="BV106" i="11"/>
  <c r="AA106" i="11"/>
  <c r="BZ106" i="11"/>
  <c r="BZ109" i="11"/>
  <c r="BR112" i="11"/>
  <c r="AE101" i="11"/>
  <c r="L101" i="11"/>
  <c r="CA101" i="11"/>
  <c r="W101" i="11"/>
  <c r="CA106" i="11"/>
  <c r="W106" i="11"/>
  <c r="BU106" i="11"/>
  <c r="AB103" i="11"/>
  <c r="AB104" i="11"/>
  <c r="AB105" i="11"/>
  <c r="BU105" i="11" s="1"/>
  <c r="AB107" i="11"/>
  <c r="AB108" i="11"/>
  <c r="AC108" i="11" s="1"/>
  <c r="BU62" i="11" l="1"/>
  <c r="BV59" i="11"/>
  <c r="BV83" i="11" s="1"/>
  <c r="AO78" i="11"/>
  <c r="BU43" i="11"/>
  <c r="W74" i="11"/>
  <c r="BV43" i="11"/>
  <c r="K64" i="11"/>
  <c r="CA14" i="11"/>
  <c r="AO84" i="11"/>
  <c r="AS64" i="11"/>
  <c r="BZ24" i="11"/>
  <c r="BV10" i="11"/>
  <c r="AV8" i="11"/>
  <c r="BZ10" i="11"/>
  <c r="BZ8" i="11" s="1"/>
  <c r="W78" i="11"/>
  <c r="AZ64" i="11"/>
  <c r="AL64" i="11"/>
  <c r="AB74" i="11"/>
  <c r="AH71" i="11"/>
  <c r="AI71" i="11"/>
  <c r="BU22" i="11"/>
  <c r="BU11" i="11"/>
  <c r="L28" i="11"/>
  <c r="AO81" i="11"/>
  <c r="W84" i="11"/>
  <c r="W72" i="11"/>
  <c r="AJ77" i="11"/>
  <c r="BV30" i="11"/>
  <c r="BV13" i="11"/>
  <c r="AA79" i="11"/>
  <c r="AA71" i="11"/>
  <c r="AO8" i="11"/>
  <c r="AE57" i="11"/>
  <c r="AE84" i="11" s="1"/>
  <c r="BU46" i="11"/>
  <c r="BU20" i="11"/>
  <c r="AI79" i="11"/>
  <c r="BU30" i="11"/>
  <c r="AC74" i="11"/>
  <c r="BO22" i="11"/>
  <c r="CA22" i="11" s="1"/>
  <c r="AQ98" i="11"/>
  <c r="AQ112" i="11" s="1"/>
  <c r="AP98" i="11"/>
  <c r="AP112" i="11" s="1"/>
  <c r="AH34" i="11"/>
  <c r="AH28" i="11" s="1"/>
  <c r="AI34" i="11"/>
  <c r="AJ34" i="11" s="1"/>
  <c r="AJ70" i="11" s="1"/>
  <c r="AE70" i="11"/>
  <c r="BC70" i="11"/>
  <c r="BC8" i="11"/>
  <c r="W98" i="11"/>
  <c r="W112" i="11" s="1"/>
  <c r="AA98" i="11"/>
  <c r="AA112" i="11" s="1"/>
  <c r="AX98" i="11"/>
  <c r="AX112" i="11" s="1"/>
  <c r="AW98" i="11"/>
  <c r="AW112" i="11" s="1"/>
  <c r="BE71" i="11"/>
  <c r="BU39" i="11"/>
  <c r="BU32" i="11"/>
  <c r="BV32" i="11"/>
  <c r="AH8" i="11"/>
  <c r="W70" i="11"/>
  <c r="AO85" i="11"/>
  <c r="AA70" i="11"/>
  <c r="AC103" i="11"/>
  <c r="BU103" i="11"/>
  <c r="BV105" i="11"/>
  <c r="BV103" i="11"/>
  <c r="BV108" i="11"/>
  <c r="BU99" i="11"/>
  <c r="BV99" i="11"/>
  <c r="BU76" i="11"/>
  <c r="AB84" i="11"/>
  <c r="AC52" i="11"/>
  <c r="AW79" i="11"/>
  <c r="AX49" i="11"/>
  <c r="AX79" i="11" s="1"/>
  <c r="AP78" i="11"/>
  <c r="AQ40" i="11"/>
  <c r="AQ78" i="11" s="1"/>
  <c r="BU58" i="11"/>
  <c r="AC58" i="11"/>
  <c r="AC56" i="11"/>
  <c r="AB54" i="11"/>
  <c r="AQ76" i="11"/>
  <c r="AQ54" i="11"/>
  <c r="AA84" i="11"/>
  <c r="BV48" i="11"/>
  <c r="AE78" i="11"/>
  <c r="AH42" i="11"/>
  <c r="AH78" i="11" s="1"/>
  <c r="AI42" i="11"/>
  <c r="AE28" i="11"/>
  <c r="BU41" i="11"/>
  <c r="BV40" i="11"/>
  <c r="AP72" i="11"/>
  <c r="AQ37" i="11"/>
  <c r="AQ72" i="11" s="1"/>
  <c r="V85" i="11"/>
  <c r="BV47" i="11"/>
  <c r="BU37" i="11"/>
  <c r="BD71" i="11"/>
  <c r="BD28" i="11"/>
  <c r="W28" i="11"/>
  <c r="AH79" i="11"/>
  <c r="BV58" i="11"/>
  <c r="BU49" i="11"/>
  <c r="BU45" i="11"/>
  <c r="BV39" i="11"/>
  <c r="BU31" i="11"/>
  <c r="AC31" i="11"/>
  <c r="AP77" i="11"/>
  <c r="AQ30" i="11"/>
  <c r="AQ77" i="11" s="1"/>
  <c r="U77" i="11"/>
  <c r="U85" i="11" s="1"/>
  <c r="BC71" i="11"/>
  <c r="BC28" i="11"/>
  <c r="BC64" i="11" s="1"/>
  <c r="AO28" i="11"/>
  <c r="M71" i="11"/>
  <c r="M28" i="11"/>
  <c r="BU25" i="11"/>
  <c r="BU24" i="11" s="1"/>
  <c r="AI24" i="11"/>
  <c r="BV20" i="11"/>
  <c r="CA18" i="11"/>
  <c r="AB79" i="11"/>
  <c r="BU16" i="11"/>
  <c r="AC16" i="11"/>
  <c r="AB8" i="11"/>
  <c r="AB71" i="11"/>
  <c r="AM71" i="11"/>
  <c r="AM85" i="11" s="1"/>
  <c r="AM8" i="11"/>
  <c r="AM64" i="11" s="1"/>
  <c r="AW70" i="11"/>
  <c r="AX11" i="11"/>
  <c r="AW8" i="11"/>
  <c r="M70" i="11"/>
  <c r="M85" i="11" s="1"/>
  <c r="AA81" i="11"/>
  <c r="AA8" i="11"/>
  <c r="X85" i="11"/>
  <c r="BV11" i="11"/>
  <c r="AH81" i="11"/>
  <c r="BU13" i="11"/>
  <c r="AB72" i="11"/>
  <c r="AA28" i="11"/>
  <c r="BV23" i="11"/>
  <c r="BU108" i="11"/>
  <c r="BU107" i="11"/>
  <c r="AC107" i="11"/>
  <c r="AC104" i="11"/>
  <c r="BU104" i="11"/>
  <c r="BV104" i="11"/>
  <c r="L98" i="11"/>
  <c r="L112" i="11" s="1"/>
  <c r="M101" i="11"/>
  <c r="AI101" i="11"/>
  <c r="AJ101" i="11" s="1"/>
  <c r="AJ98" i="11" s="1"/>
  <c r="AJ112" i="11" s="1"/>
  <c r="BZ101" i="11"/>
  <c r="AH101" i="11"/>
  <c r="AH98" i="11" s="1"/>
  <c r="AH112" i="11" s="1"/>
  <c r="AE98" i="11"/>
  <c r="AE112" i="11" s="1"/>
  <c r="BV107" i="11"/>
  <c r="AB98" i="11"/>
  <c r="AB112" i="11" s="1"/>
  <c r="BV62" i="11"/>
  <c r="BU48" i="11"/>
  <c r="BV45" i="11"/>
  <c r="BV41" i="11"/>
  <c r="AB83" i="11"/>
  <c r="BU59" i="11"/>
  <c r="BU83" i="11" s="1"/>
  <c r="AC59" i="11"/>
  <c r="AC83" i="11" s="1"/>
  <c r="BU56" i="11"/>
  <c r="BV76" i="11"/>
  <c r="AA76" i="11"/>
  <c r="AA54" i="11"/>
  <c r="BU51" i="11"/>
  <c r="BU50" i="11"/>
  <c r="BS46" i="11"/>
  <c r="BR28" i="11"/>
  <c r="BU44" i="11"/>
  <c r="AB81" i="11"/>
  <c r="AB78" i="11"/>
  <c r="BU40" i="11"/>
  <c r="AC40" i="11"/>
  <c r="AC78" i="11" s="1"/>
  <c r="AB75" i="11"/>
  <c r="BU38" i="11"/>
  <c r="BU75" i="11" s="1"/>
  <c r="AB70" i="11"/>
  <c r="AC33" i="11"/>
  <c r="K85" i="11"/>
  <c r="BV52" i="11"/>
  <c r="BV51" i="11"/>
  <c r="BV46" i="11"/>
  <c r="BU42" i="11"/>
  <c r="AW72" i="11"/>
  <c r="AX39" i="11"/>
  <c r="AX72" i="11" s="1"/>
  <c r="BV37" i="11"/>
  <c r="BV33" i="11"/>
  <c r="AP84" i="11"/>
  <c r="AQ31" i="11"/>
  <c r="AQ84" i="11" s="1"/>
  <c r="AB77" i="11"/>
  <c r="AB28" i="11"/>
  <c r="AC30" i="11"/>
  <c r="AW71" i="11"/>
  <c r="AX29" i="11"/>
  <c r="AW28" i="11"/>
  <c r="U28" i="11"/>
  <c r="U64" i="11" s="1"/>
  <c r="BR74" i="11"/>
  <c r="BR85" i="11" s="1"/>
  <c r="BS18" i="11"/>
  <c r="BR8" i="11"/>
  <c r="AP71" i="11"/>
  <c r="AQ12" i="11"/>
  <c r="AQ71" i="11" s="1"/>
  <c r="BV56" i="11"/>
  <c r="BV49" i="11"/>
  <c r="BZ42" i="11"/>
  <c r="BZ28" i="11" s="1"/>
  <c r="CA28" i="11"/>
  <c r="AW77" i="11"/>
  <c r="AX30" i="11"/>
  <c r="AX77" i="11" s="1"/>
  <c r="AI77" i="11"/>
  <c r="W77" i="11"/>
  <c r="AV71" i="11"/>
  <c r="AV85" i="11" s="1"/>
  <c r="AV28" i="11"/>
  <c r="AV64" i="11" s="1"/>
  <c r="BV25" i="11"/>
  <c r="BU23" i="11"/>
  <c r="BU21" i="11"/>
  <c r="BU74" i="11" s="1"/>
  <c r="P74" i="11"/>
  <c r="P85" i="11" s="1"/>
  <c r="R21" i="11"/>
  <c r="BV18" i="11"/>
  <c r="BV17" i="11"/>
  <c r="BV14" i="11"/>
  <c r="AJ14" i="11"/>
  <c r="AI8" i="11"/>
  <c r="BV12" i="11"/>
  <c r="BD70" i="11"/>
  <c r="BD85" i="11" s="1"/>
  <c r="BD8" i="11"/>
  <c r="BD64" i="11" s="1"/>
  <c r="BE11" i="11"/>
  <c r="AQ81" i="11"/>
  <c r="AQ8" i="11"/>
  <c r="W81" i="11"/>
  <c r="W8" i="11"/>
  <c r="AP70" i="11"/>
  <c r="AP8" i="11"/>
  <c r="L64" i="11"/>
  <c r="N8" i="11"/>
  <c r="W71" i="11"/>
  <c r="AP81" i="11"/>
  <c r="BU9" i="11"/>
  <c r="AI70" i="11"/>
  <c r="BV31" i="11"/>
  <c r="AP28" i="11"/>
  <c r="BV22" i="11"/>
  <c r="BV21" i="11"/>
  <c r="AC72" i="11"/>
  <c r="BU17" i="11"/>
  <c r="BV16" i="11"/>
  <c r="BV89" i="11" l="1"/>
  <c r="BV90" i="11" s="1"/>
  <c r="AH70" i="11"/>
  <c r="AH85" i="11" s="1"/>
  <c r="BV71" i="11"/>
  <c r="AC70" i="11"/>
  <c r="BU81" i="11"/>
  <c r="BV81" i="11"/>
  <c r="AO64" i="11"/>
  <c r="W64" i="11"/>
  <c r="BR64" i="11"/>
  <c r="BO8" i="11"/>
  <c r="BO64" i="11" s="1"/>
  <c r="BO74" i="11"/>
  <c r="BO85" i="11" s="1"/>
  <c r="AI28" i="11"/>
  <c r="BV34" i="11"/>
  <c r="BV70" i="11" s="1"/>
  <c r="BV87" i="11" s="1"/>
  <c r="BZ57" i="11"/>
  <c r="BZ54" i="11" s="1"/>
  <c r="AH57" i="11"/>
  <c r="AH54" i="11" s="1"/>
  <c r="AH64" i="11" s="1"/>
  <c r="BC85" i="11"/>
  <c r="BU77" i="11"/>
  <c r="AI57" i="11"/>
  <c r="AI54" i="11" s="1"/>
  <c r="AI64" i="11" s="1"/>
  <c r="BV79" i="11"/>
  <c r="AE54" i="11"/>
  <c r="AE64" i="11" s="1"/>
  <c r="AE85" i="11"/>
  <c r="CA8" i="11"/>
  <c r="CA64" i="11" s="1"/>
  <c r="BV72" i="11"/>
  <c r="AA85" i="11"/>
  <c r="AC98" i="11"/>
  <c r="AC112" i="11" s="1"/>
  <c r="BU34" i="11"/>
  <c r="BU28" i="11" s="1"/>
  <c r="W85" i="11"/>
  <c r="BU72" i="11"/>
  <c r="BU71" i="11"/>
  <c r="AP85" i="11"/>
  <c r="BV77" i="11"/>
  <c r="BU79" i="11"/>
  <c r="AP64" i="11"/>
  <c r="BE70" i="11"/>
  <c r="BE85" i="11" s="1"/>
  <c r="BE8" i="11"/>
  <c r="BE64" i="11" s="1"/>
  <c r="BV74" i="11"/>
  <c r="AQ85" i="11"/>
  <c r="BS74" i="11"/>
  <c r="BS8" i="11"/>
  <c r="AX71" i="11"/>
  <c r="AX28" i="11"/>
  <c r="AC77" i="11"/>
  <c r="AC28" i="11"/>
  <c r="BU82" i="11"/>
  <c r="BV50" i="11"/>
  <c r="BV82" i="11" s="1"/>
  <c r="M98" i="11"/>
  <c r="M112" i="11" s="1"/>
  <c r="U101" i="11"/>
  <c r="U98" i="11" s="1"/>
  <c r="U112" i="11" s="1"/>
  <c r="AX70" i="11"/>
  <c r="AX85" i="11" s="1"/>
  <c r="AX8" i="11"/>
  <c r="AC79" i="11"/>
  <c r="AC8" i="11"/>
  <c r="N28" i="11"/>
  <c r="P28" i="11" s="1"/>
  <c r="M64" i="11"/>
  <c r="T65" i="11" s="1"/>
  <c r="AC54" i="11"/>
  <c r="AH84" i="11"/>
  <c r="AI84" i="11"/>
  <c r="AI98" i="11"/>
  <c r="AI112" i="11" s="1"/>
  <c r="BU101" i="11"/>
  <c r="BU98" i="11" s="1"/>
  <c r="BU112" i="11" s="1"/>
  <c r="BV101" i="11"/>
  <c r="BV98" i="11" s="1"/>
  <c r="BU8" i="11"/>
  <c r="P8" i="11"/>
  <c r="AJ8" i="11"/>
  <c r="AJ71" i="11"/>
  <c r="R74" i="11"/>
  <c r="R85" i="11" s="1"/>
  <c r="T22" i="11"/>
  <c r="T74" i="11" s="1"/>
  <c r="T85" i="11" s="1"/>
  <c r="BV24" i="11"/>
  <c r="BZ3" i="11"/>
  <c r="AB85" i="11"/>
  <c r="BU78" i="11"/>
  <c r="BS28" i="11"/>
  <c r="BS77" i="11"/>
  <c r="AQ28" i="11"/>
  <c r="AQ64" i="11" s="1"/>
  <c r="BV8" i="11"/>
  <c r="AA64" i="11"/>
  <c r="AW64" i="11"/>
  <c r="AW85" i="11"/>
  <c r="AB64" i="11"/>
  <c r="AJ42" i="11"/>
  <c r="AI78" i="11"/>
  <c r="BV42" i="11"/>
  <c r="AC84" i="11"/>
  <c r="BV28" i="11" l="1"/>
  <c r="BV65" i="11"/>
  <c r="BV112" i="11"/>
  <c r="BZ64" i="11"/>
  <c r="BU70" i="11"/>
  <c r="AI85" i="11"/>
  <c r="AJ57" i="11"/>
  <c r="AJ84" i="11" s="1"/>
  <c r="BU57" i="11"/>
  <c r="BV57" i="11"/>
  <c r="N64" i="11"/>
  <c r="AX64" i="11"/>
  <c r="AC85" i="11"/>
  <c r="BV78" i="11"/>
  <c r="P64" i="11"/>
  <c r="R8" i="11"/>
  <c r="AJ54" i="11"/>
  <c r="AC64" i="11"/>
  <c r="BS85" i="11"/>
  <c r="AJ78" i="11"/>
  <c r="AJ28" i="11"/>
  <c r="BS64" i="11"/>
  <c r="BV64" i="11" l="1"/>
  <c r="BV54" i="11"/>
  <c r="BV84" i="11"/>
  <c r="BV85" i="11" s="1"/>
  <c r="BV113" i="11" s="1"/>
  <c r="AJ64" i="11"/>
  <c r="BU54" i="11"/>
  <c r="BU64" i="11" s="1"/>
  <c r="BU65" i="11" s="1"/>
  <c r="BU84" i="11"/>
  <c r="BU85" i="11" s="1"/>
  <c r="AJ85" i="11"/>
  <c r="R64" i="11"/>
  <c r="T8" i="11"/>
  <c r="T64" i="11" s="1"/>
</calcChain>
</file>

<file path=xl/comments1.xml><?xml version="1.0" encoding="utf-8"?>
<comments xmlns="http://schemas.openxmlformats.org/spreadsheetml/2006/main">
  <authors>
    <author>Huong</author>
  </authors>
  <commentList>
    <comment ref="M11" authorId="0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NY signed Add No.1 b/c Ishimoto</t>
        </r>
      </text>
    </comment>
    <comment ref="V11" authorId="0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Email: 3/7/2012</t>
        </r>
      </text>
    </comment>
    <comment ref="X11" authorId="0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 dated 20120710</t>
        </r>
      </text>
    </comment>
    <comment ref="K12" authorId="0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NY signed Add</t>
        </r>
      </text>
    </comment>
    <comment ref="Y13" authorId="0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05/24/2012</t>
        </r>
      </text>
    </comment>
    <comment ref="AB13" authorId="0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DN-QN paid 15/06/2012
</t>
        </r>
      </text>
    </comment>
    <comment ref="K14" authorId="0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NY signed Add</t>
        </r>
      </text>
    </comment>
    <comment ref="M15" authorId="0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NY signed Add</t>
        </r>
      </text>
    </comment>
    <comment ref="Y15" authorId="0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 from Tokyo: 18/09/2012</t>
        </r>
      </text>
    </comment>
    <comment ref="J17" authorId="0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Including 10%VAT</t>
        </r>
      </text>
    </comment>
    <comment ref="V17" authorId="0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Email: 3/7/2012</t>
        </r>
      </text>
    </comment>
  </commentList>
</comments>
</file>

<file path=xl/comments2.xml><?xml version="1.0" encoding="utf-8"?>
<comments xmlns="http://schemas.openxmlformats.org/spreadsheetml/2006/main">
  <authors>
    <author>DSIV</author>
    <author>Huong</author>
  </authors>
  <commentList>
    <comment ref="X9" authorId="0">
      <text>
        <r>
          <rPr>
            <b/>
            <sz val="8"/>
            <color indexed="81"/>
            <rFont val="Tahoma"/>
            <family val="2"/>
          </rPr>
          <t>DSIV:</t>
        </r>
        <r>
          <rPr>
            <sz val="8"/>
            <color indexed="81"/>
            <rFont val="Tahoma"/>
            <family val="2"/>
          </rPr>
          <t xml:space="preserve">
TT02/11</t>
        </r>
      </text>
    </comment>
    <comment ref="AF9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HO Email: 120618</t>
        </r>
      </text>
    </comment>
    <comment ref="AI9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DN-QN site project paid 20120720</t>
        </r>
      </text>
    </comment>
    <comment ref="X11" authorId="0">
      <text>
        <r>
          <rPr>
            <b/>
            <sz val="8"/>
            <color indexed="81"/>
            <rFont val="Tahoma"/>
            <family val="2"/>
          </rPr>
          <t>DSIV:</t>
        </r>
        <r>
          <rPr>
            <sz val="8"/>
            <color indexed="81"/>
            <rFont val="Tahoma"/>
            <family val="2"/>
          </rPr>
          <t xml:space="preserve">
02/11
</t>
        </r>
      </text>
    </comment>
    <comment ref="AF11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HO Email: 120618</t>
        </r>
      </text>
    </comment>
    <comment ref="AJ11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paid 20120720 ( invoice No.14)
</t>
        </r>
      </text>
    </comment>
    <comment ref="X12" authorId="0">
      <text>
        <r>
          <rPr>
            <b/>
            <sz val="8"/>
            <color indexed="81"/>
            <rFont val="Tahoma"/>
            <family val="2"/>
          </rPr>
          <t>DSIV:</t>
        </r>
        <r>
          <rPr>
            <sz val="8"/>
            <color indexed="81"/>
            <rFont val="Tahoma"/>
            <family val="2"/>
          </rPr>
          <t xml:space="preserve">
20/10</t>
        </r>
      </text>
    </comment>
    <comment ref="AE12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Mr.ishimoto approved interim payment 120611, but HO has not paid yet</t>
        </r>
      </text>
    </comment>
    <comment ref="AJ12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paid 20120720 ( invoice 48)</t>
        </r>
      </text>
    </comment>
    <comment ref="J13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including 10%VAT</t>
        </r>
      </text>
    </comment>
    <comment ref="V13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email: 3/7/2012</t>
        </r>
      </text>
    </comment>
    <comment ref="X15" authorId="0">
      <text>
        <r>
          <rPr>
            <b/>
            <sz val="8"/>
            <color indexed="81"/>
            <rFont val="Tahoma"/>
            <family val="2"/>
          </rPr>
          <t>DSIV:</t>
        </r>
        <r>
          <rPr>
            <sz val="8"/>
            <color indexed="81"/>
            <rFont val="Tahoma"/>
            <family val="2"/>
          </rPr>
          <t xml:space="preserve">
20/10</t>
        </r>
      </text>
    </comment>
    <comment ref="V16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Tokyo: 7.800.570 d, email: 6 Aug 2012</t>
        </r>
      </text>
    </comment>
    <comment ref="V18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including Addendum1
</t>
        </r>
      </text>
    </comment>
    <comment ref="X18" authorId="0">
      <text>
        <r>
          <rPr>
            <b/>
            <sz val="8"/>
            <color indexed="81"/>
            <rFont val="Tahoma"/>
            <family val="2"/>
          </rPr>
          <t>DSIV:</t>
        </r>
        <r>
          <rPr>
            <sz val="8"/>
            <color indexed="81"/>
            <rFont val="Tahoma"/>
            <family val="2"/>
          </rPr>
          <t xml:space="preserve">
20/10</t>
        </r>
      </text>
    </comment>
    <comment ref="AE18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27/4</t>
        </r>
      </text>
    </comment>
    <comment ref="AC19" authorId="1">
      <text>
        <r>
          <rPr>
            <b/>
            <sz val="9"/>
            <color indexed="81"/>
            <rFont val="Tahoma"/>
            <family val="2"/>
          </rPr>
          <t xml:space="preserve">PAID :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0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Inc VAT</t>
        </r>
      </text>
    </comment>
    <comment ref="X20" authorId="1">
      <text>
        <r>
          <rPr>
            <b/>
            <sz val="9"/>
            <color indexed="81"/>
            <rFont val="Tahoma"/>
            <family val="2"/>
          </rPr>
          <t>Huong:
Send email to tokyo dated 25 June 2012</t>
        </r>
      </text>
    </comment>
    <comment ref="AC20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Paid</t>
        </r>
      </text>
    </comment>
    <comment ref="J21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Inc VAT</t>
        </r>
      </text>
    </comment>
    <comment ref="X21" authorId="1">
      <text>
        <r>
          <rPr>
            <b/>
            <sz val="9"/>
            <color indexed="81"/>
            <rFont val="Tahoma"/>
            <family val="2"/>
          </rPr>
          <t>Huong:
Send email to tokyo dated 25 June 2012</t>
        </r>
      </text>
    </comment>
    <comment ref="AC21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Paid</t>
        </r>
      </text>
    </comment>
    <comment ref="X23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Mr.Ishi agreed for 1st payment dated 122709
</t>
        </r>
      </text>
    </comment>
    <comment ref="X25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paid: 22/12/2011
</t>
        </r>
      </text>
    </comment>
    <comment ref="AF25" authorId="1">
      <text>
        <r>
          <rPr>
            <b/>
            <sz val="9"/>
            <color indexed="81"/>
            <rFont val="Tahoma"/>
            <family val="2"/>
          </rPr>
          <t xml:space="preserve">Huong:
</t>
        </r>
        <r>
          <rPr>
            <sz val="9"/>
            <color indexed="81"/>
            <rFont val="Tahoma"/>
            <family val="2"/>
          </rPr>
          <t>HO Email: 120618</t>
        </r>
      </text>
    </comment>
    <comment ref="AJ25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DN_QN project site office paid VAT in VND ( Inv.16)</t>
        </r>
      </text>
    </comment>
    <comment ref="M29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NY signed Add No.1 b/c Ishimoto</t>
        </r>
      </text>
    </comment>
    <comment ref="V29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Email: 3/7/2012</t>
        </r>
      </text>
    </comment>
    <comment ref="X29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 dated 20120710</t>
        </r>
      </text>
    </comment>
    <comment ref="K30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NY signed Add No.1</t>
        </r>
      </text>
    </comment>
    <comment ref="J32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Da bao gom 10%Vat
</t>
        </r>
      </text>
    </comment>
    <comment ref="Y32" authorId="1">
      <text>
        <r>
          <rPr>
            <sz val="9"/>
            <color indexed="81"/>
            <rFont val="Tahoma"/>
            <family val="2"/>
          </rPr>
          <t xml:space="preserve">Email: 09 Aug 2012 
</t>
        </r>
      </text>
    </comment>
    <comment ref="K33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NY signed Add</t>
        </r>
      </text>
    </comment>
    <comment ref="Y34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05/24/2012</t>
        </r>
      </text>
    </comment>
    <comment ref="AB34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DN-QN paid 15/06/2012
</t>
        </r>
      </text>
    </comment>
    <comment ref="Y36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 from Tokyo: 18/09/2012</t>
        </r>
      </text>
    </comment>
    <comment ref="Y38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Dated 26 August 2012.</t>
        </r>
      </text>
    </comment>
    <comment ref="K39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NY signed Add</t>
        </r>
      </text>
    </comment>
    <comment ref="K47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NY signed Add</t>
        </r>
      </text>
    </comment>
    <comment ref="M48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NY signed Add</t>
        </r>
      </text>
    </comment>
    <comment ref="Y48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 from Tokyo: 18/09/2012</t>
        </r>
      </text>
    </comment>
    <comment ref="V49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contract price including 10%VAT: 8.752.282đ. Email dated 06 Jun 2012</t>
        </r>
      </text>
    </comment>
    <comment ref="Y49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Email: June 7, 2012</t>
        </r>
      </text>
    </comment>
    <comment ref="AB49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paid 20120720 ( inv.62)
</t>
        </r>
      </text>
    </comment>
    <comment ref="AE49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Mr.Ishimoto agreed on 09 Aug 2012</t>
        </r>
      </text>
    </comment>
    <comment ref="AF49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Tokyo : 13 Aug 2012</t>
        </r>
      </text>
    </comment>
    <comment ref="J50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including 10%VAT</t>
        </r>
      </text>
    </comment>
    <comment ref="K50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NY signed add</t>
        </r>
      </text>
    </comment>
    <comment ref="V50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Price contract before VAT: 8.882.086d</t>
        </r>
      </text>
    </comment>
    <comment ref="Y50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Tokyo 15 Aug 2012</t>
        </r>
      </text>
    </comment>
    <comment ref="Y51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 from Tokyo: 18/09/2012</t>
        </r>
      </text>
    </comment>
    <comment ref="X55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paid: 11/05</t>
        </r>
      </text>
    </comment>
    <comment ref="J56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Including 10%VAT</t>
        </r>
      </text>
    </comment>
    <comment ref="V56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Email: 3/7/2012</t>
        </r>
      </text>
    </comment>
    <comment ref="J57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inluding 10%VAT</t>
        </r>
      </text>
    </comment>
    <comment ref="X60" authorId="0">
      <text>
        <r>
          <rPr>
            <b/>
            <sz val="8"/>
            <color indexed="81"/>
            <rFont val="Tahoma"/>
            <family val="2"/>
          </rPr>
          <t>Mr.Ishimoto agree for 1st payment dated 120927</t>
        </r>
      </text>
    </comment>
    <comment ref="X99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paid: 22/12/2011
</t>
        </r>
      </text>
    </comment>
    <comment ref="AF99" authorId="1">
      <text>
        <r>
          <rPr>
            <b/>
            <sz val="9"/>
            <color indexed="81"/>
            <rFont val="Tahoma"/>
            <family val="2"/>
          </rPr>
          <t xml:space="preserve">Huong:
</t>
        </r>
        <r>
          <rPr>
            <sz val="9"/>
            <color indexed="81"/>
            <rFont val="Tahoma"/>
            <family val="2"/>
          </rPr>
          <t>HO Email: 120618</t>
        </r>
      </text>
    </comment>
    <comment ref="AJ99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DN_QN project site office paid VAT in VND ( Inv.16)</t>
        </r>
      </text>
    </comment>
    <comment ref="K100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NY signed Add</t>
        </r>
      </text>
    </comment>
    <comment ref="Y101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05/24/2012</t>
        </r>
      </text>
    </comment>
    <comment ref="AB101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DN-QN paid 15/06/2012
</t>
        </r>
      </text>
    </comment>
    <comment ref="Y103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 from Tokyo: 18/09/2012</t>
        </r>
      </text>
    </comment>
    <comment ref="K105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NY signed Add</t>
        </r>
      </text>
    </comment>
    <comment ref="M106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NY signed Add</t>
        </r>
      </text>
    </comment>
    <comment ref="Y106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 from Tokyo: 18/09/2012</t>
        </r>
      </text>
    </comment>
    <comment ref="Y107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 from Tokyo: 18/09/2012</t>
        </r>
      </text>
    </comment>
    <comment ref="J108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Including 10%VAT</t>
        </r>
      </text>
    </comment>
    <comment ref="V108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Email: 3/7/2012</t>
        </r>
      </text>
    </comment>
    <comment ref="M109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NY signed Add No.1 b/c Ishimoto</t>
        </r>
      </text>
    </comment>
    <comment ref="V109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Email: 3/7/2012</t>
        </r>
      </text>
    </comment>
    <comment ref="X109" authorId="1">
      <text>
        <r>
          <rPr>
            <b/>
            <sz val="9"/>
            <color indexed="81"/>
            <rFont val="Tahoma"/>
            <family val="2"/>
          </rPr>
          <t>Huong:</t>
        </r>
        <r>
          <rPr>
            <sz val="9"/>
            <color indexed="81"/>
            <rFont val="Tahoma"/>
            <family val="2"/>
          </rPr>
          <t xml:space="preserve">
email dated 20120710</t>
        </r>
      </text>
    </comment>
    <comment ref="X110" authorId="0">
      <text>
        <r>
          <rPr>
            <b/>
            <sz val="8"/>
            <color indexed="81"/>
            <rFont val="Tahoma"/>
            <family val="2"/>
          </rPr>
          <t>Mr.Ishimoto agree for 1st payment dated 120927</t>
        </r>
      </text>
    </comment>
  </commentList>
</comments>
</file>

<file path=xl/sharedStrings.xml><?xml version="1.0" encoding="utf-8"?>
<sst xmlns="http://schemas.openxmlformats.org/spreadsheetml/2006/main" count="1347" uniqueCount="407">
  <si>
    <t>STT</t>
  </si>
  <si>
    <t>TL</t>
  </si>
  <si>
    <t>Thang Loi engineering consultants Co., Ltd</t>
  </si>
  <si>
    <t>15/07/2011</t>
  </si>
  <si>
    <t>Control point survey works</t>
  </si>
  <si>
    <t>TEDIS</t>
  </si>
  <si>
    <t>Transport engineering design joint stock inc.South</t>
  </si>
  <si>
    <t>22/08/2011</t>
  </si>
  <si>
    <t>Topographic survey works</t>
  </si>
  <si>
    <t>E&amp;R engineering consultants joint stock company</t>
  </si>
  <si>
    <t>TDIC</t>
  </si>
  <si>
    <t>EGS</t>
  </si>
  <si>
    <t>EGS(Vietnam) company limited</t>
  </si>
  <si>
    <t>Hydrological  survey works</t>
  </si>
  <si>
    <t>Technology development &amp; investment consultant JSC</t>
  </si>
  <si>
    <t>DHI</t>
  </si>
  <si>
    <t>DHI VietNam Company Limited</t>
  </si>
  <si>
    <t>29/11/2011</t>
  </si>
  <si>
    <t>Inundation analysis of Quang Ngai Section</t>
  </si>
  <si>
    <t>Unit 303, 30 Nguyen Du Building, Nguyen Du Steet, Hanoi, VN</t>
  </si>
  <si>
    <t>Code</t>
  </si>
  <si>
    <t>Sub-contract</t>
  </si>
  <si>
    <t>Address</t>
  </si>
  <si>
    <t>Tax code</t>
  </si>
  <si>
    <t>Payment status</t>
  </si>
  <si>
    <t>Detail</t>
  </si>
  <si>
    <t>Binh: 083299988;0903307968</t>
  </si>
  <si>
    <t>Trang: 0466524636</t>
  </si>
  <si>
    <t>Chi Hang: 0912 908 529; 0437545208</t>
  </si>
  <si>
    <t>Van: 0435579345; 0913300509</t>
  </si>
  <si>
    <t>Phuong: 05113889732-6253103</t>
  </si>
  <si>
    <t>Addendum No.1 for Topographic survey works</t>
  </si>
  <si>
    <t>ESS</t>
  </si>
  <si>
    <t>Earth system science Co., LTD</t>
  </si>
  <si>
    <t>20/11/2011</t>
  </si>
  <si>
    <t>Inundation analysis of  DN - Quang Nam Section</t>
  </si>
  <si>
    <t>Joint venture of independent valuaion consultance Co of DN-Qnam-Qngai</t>
  </si>
  <si>
    <t>30/01/2012</t>
  </si>
  <si>
    <t>Independent replacement cost survey (RCS)</t>
  </si>
  <si>
    <t>ms.Phương kt: 0912 573 068</t>
  </si>
  <si>
    <t>Joint Venture of NK - NEC - Chodai - TEC</t>
  </si>
  <si>
    <t>Total  Amount in USD</t>
  </si>
  <si>
    <t>Time of 
commencemant
and completion</t>
  </si>
  <si>
    <t>22/08-31/12/2011</t>
  </si>
  <si>
    <t>20/11/2011-31/01/2012</t>
  </si>
  <si>
    <t>29/11/2011-20/01/2012</t>
  </si>
  <si>
    <t>30/01-31/07/2012</t>
  </si>
  <si>
    <t>05/09-31/12/2011</t>
  </si>
  <si>
    <t>15/07-31/10/2011</t>
  </si>
  <si>
    <t>Date of 
signing</t>
  </si>
  <si>
    <t>BREAKDOWN FOR SUB-CONTRACTOR  PAYMENT</t>
  </si>
  <si>
    <t>Contact person</t>
  </si>
  <si>
    <t>Van: 0435579345; 0913300509; Fax: 0435579344</t>
  </si>
  <si>
    <t>15/02/2012</t>
  </si>
  <si>
    <t>01/03-31/05</t>
  </si>
  <si>
    <t>Ms.lang: 0905121416</t>
  </si>
  <si>
    <t>24/05/2012</t>
  </si>
  <si>
    <t>31/07/2012</t>
  </si>
  <si>
    <t>Vietroads design consultant and verification quality construction JSC</t>
  </si>
  <si>
    <t>15/05/2012</t>
  </si>
  <si>
    <t>30/06/2012</t>
  </si>
  <si>
    <t>Baseline traffic survey Works</t>
  </si>
  <si>
    <t>Land acquisition &amp; Row staking works</t>
  </si>
  <si>
    <t>31/05/2012</t>
  </si>
  <si>
    <t>Addendum No.3 for Topographic survey works</t>
  </si>
  <si>
    <t>The first payment (40%)</t>
  </si>
  <si>
    <t>The final payment (20%)</t>
  </si>
  <si>
    <t xml:space="preserve"> equivalent in JPY</t>
  </si>
  <si>
    <t>equivalent
 in JPY</t>
  </si>
  <si>
    <t>Equivalent in VND</t>
  </si>
  <si>
    <t xml:space="preserve"> in USD </t>
  </si>
  <si>
    <t xml:space="preserve">equivalent in JPY </t>
  </si>
  <si>
    <t>VAT in USD</t>
  </si>
  <si>
    <t>in USD  (Inc VAT)</t>
  </si>
  <si>
    <t>E&amp;R</t>
  </si>
  <si>
    <t>18/06/2012</t>
  </si>
  <si>
    <t>Engineering Geological Survey works
( Package 1, Hoa Vang section, Km0+000-km8+000)</t>
  </si>
  <si>
    <t>15/08/2012</t>
  </si>
  <si>
    <t>10/6-31/7/2012</t>
  </si>
  <si>
    <t>JA12000309</t>
  </si>
  <si>
    <t>JA1100594</t>
  </si>
  <si>
    <t>JA1100595</t>
  </si>
  <si>
    <t>JA1200311</t>
  </si>
  <si>
    <t>VRC</t>
  </si>
  <si>
    <t>Thien Khai Joint Stock Company</t>
  </si>
  <si>
    <t>16/07/2012</t>
  </si>
  <si>
    <t>20/7-15/09/2012</t>
  </si>
  <si>
    <t>Engineering Geological Survey works
( Package A5, Km124+700-Km139+204 excluding Tra Khuc bridge section)</t>
  </si>
  <si>
    <t>16/07-30/09/2012</t>
  </si>
  <si>
    <t>Engineering Geological Survey works
( Package 2, Earthwork Section Km8+000-Km16+880)</t>
  </si>
  <si>
    <t>Remaining
Amount in JPY (HO)</t>
  </si>
  <si>
    <t xml:space="preserve">Remaining
Amount in USD ( HO) </t>
  </si>
  <si>
    <t>Exchange rate</t>
  </si>
  <si>
    <t>JA1100597</t>
  </si>
  <si>
    <t>JA1100598</t>
  </si>
  <si>
    <t>DN-QN project site office paid 100%</t>
  </si>
  <si>
    <t>JA1100596</t>
  </si>
  <si>
    <t>JA1100593</t>
  </si>
  <si>
    <t>JA08O1057</t>
  </si>
  <si>
    <t>Contract 100% in JPY, paid 80% contract price</t>
  </si>
  <si>
    <t>JA1101012</t>
  </si>
  <si>
    <t>JA1200139</t>
  </si>
  <si>
    <t>JA1200221</t>
  </si>
  <si>
    <t>FMC</t>
  </si>
  <si>
    <t>Fukken &amp; Minami Consultant Co., LTD</t>
  </si>
  <si>
    <t>Engineering Geological Survey works
( Tunnel Section, Km22+485-km23+037)</t>
  </si>
  <si>
    <t>Transport Engineering Design Inc. ( TEDI)</t>
  </si>
  <si>
    <t>Engineering Geological Survey works
( Package 3B, Chiem Sơn Bridge section, Km19+975.2 -Km20+430.1 )</t>
  </si>
  <si>
    <t>JA1200431</t>
  </si>
  <si>
    <t>JA1200432</t>
  </si>
  <si>
    <t>JA1200430</t>
  </si>
  <si>
    <t>Mr.Viet Anh, tel: 0435380681
. Email: nvatkc@gmail.com</t>
  </si>
  <si>
    <t>Ms.Trúc, KTT, 0854.045343</t>
  </si>
  <si>
    <t>13/08/2012</t>
  </si>
  <si>
    <t>Engineering Geological Survey works 
( Package 6, Km 42+000-km52+000)</t>
  </si>
  <si>
    <t>Engineering Geological Survey works 
( Package A2, Section 1)</t>
  </si>
  <si>
    <t>PHUHA</t>
  </si>
  <si>
    <t>Phuha Building and Investment Consultancy JSC</t>
  </si>
  <si>
    <t>Material Survey Works</t>
  </si>
  <si>
    <t>Engineering Geological Survey works 
( Package A2, Section 2)</t>
  </si>
  <si>
    <t>TC</t>
  </si>
  <si>
    <t>Thanh Cong Construction Consultant JSC</t>
  </si>
  <si>
    <t>23/08/2012</t>
  </si>
  <si>
    <t>Engineering Geological Survey works 
( Package 7, Km052+000-Km065+000)</t>
  </si>
  <si>
    <t>Engineering Geological Survey works 
( Package 5, Km032+600-Km042+000)</t>
  </si>
  <si>
    <t>DN-QN project site office paid 100% final payment in VND =&gt; untilnow, finished</t>
  </si>
  <si>
    <t>A. Survey</t>
  </si>
  <si>
    <t>20/10/2011</t>
  </si>
  <si>
    <t>02/11/2011</t>
  </si>
  <si>
    <t>02/02/2012</t>
  </si>
  <si>
    <t>22/12/2011</t>
  </si>
  <si>
    <t>17/05/2012</t>
  </si>
  <si>
    <t>26/04/2012</t>
  </si>
  <si>
    <t>27/12/2011</t>
  </si>
  <si>
    <t>27/04/2012</t>
  </si>
  <si>
    <t>06/07/2012</t>
  </si>
  <si>
    <t>15/06/2012</t>
  </si>
  <si>
    <t>16/08/2012</t>
  </si>
  <si>
    <t>17/08/2012</t>
  </si>
  <si>
    <t>30/07/2012</t>
  </si>
  <si>
    <t>20/07/2012</t>
  </si>
  <si>
    <t>27/06/2012</t>
  </si>
  <si>
    <t>28/06/2012</t>
  </si>
  <si>
    <t>26/06/2012</t>
  </si>
  <si>
    <t>14/06/2012</t>
  </si>
  <si>
    <t>19/07/2012</t>
  </si>
  <si>
    <t>24/08/2012</t>
  </si>
  <si>
    <t>Date payment from HO</t>
  </si>
  <si>
    <t>Date payment from Project site</t>
  </si>
  <si>
    <t>27/08/2012</t>
  </si>
  <si>
    <t>31/08/2012</t>
  </si>
  <si>
    <t>Engineering Geological Survey works 
( Package A1, Km65+000-Km081+150)</t>
  </si>
  <si>
    <t>Engineering Geological Survey works 
( Package A3, Km99+500-Km110+100)</t>
  </si>
  <si>
    <t>Engineering Geological Survey works 
( Package 3B, Km18+100-Km21+500)</t>
  </si>
  <si>
    <t>Engineering Geological Survey works 
( Package 2, Bridge section, Km8+000-Km16+880)</t>
  </si>
  <si>
    <t>ATH</t>
  </si>
  <si>
    <t>Construction Investment Consultant ATH.,JSC</t>
  </si>
  <si>
    <t>17/09/2012</t>
  </si>
  <si>
    <t>Engineering Geological Survey works 
( Package 4, Section 1, Km21+500-Km26+800)</t>
  </si>
  <si>
    <t>JA1200477</t>
  </si>
  <si>
    <t>JA1200475</t>
  </si>
  <si>
    <t>JA1200476</t>
  </si>
  <si>
    <t>27/09/2012</t>
  </si>
  <si>
    <t>06/09/2012</t>
  </si>
  <si>
    <t>Public Utility Survey Works</t>
  </si>
  <si>
    <t>JA1200577</t>
  </si>
  <si>
    <t>05/10/2012</t>
  </si>
  <si>
    <t>30/08/2012</t>
  </si>
  <si>
    <t>11/10/2012</t>
  </si>
  <si>
    <t>JA1200517</t>
  </si>
  <si>
    <t>JA1200518</t>
  </si>
  <si>
    <t>25/10/2012</t>
  </si>
  <si>
    <t>JA1200556</t>
  </si>
  <si>
    <t>JA1200565</t>
  </si>
  <si>
    <t>Thang Loi Engineering Consultant Co.,Ltd</t>
  </si>
  <si>
    <t>Detailed Engineering Design</t>
  </si>
  <si>
    <t>30/10/2012</t>
  </si>
  <si>
    <t>Addendum1 for Engineering Geological Survey works (the location of O&amp;M building Area)</t>
  </si>
  <si>
    <t>08/11/2012</t>
  </si>
  <si>
    <t>15/11/2012</t>
  </si>
  <si>
    <t>18/10/2012</t>
  </si>
  <si>
    <t>22/11/2012</t>
  </si>
  <si>
    <t>Engineering Geological Survey works 
( Package 4, Section 2, Km26+800-Km32+600)</t>
  </si>
  <si>
    <t>13/12/2012</t>
  </si>
  <si>
    <t>The third payment</t>
  </si>
  <si>
    <t xml:space="preserve">The second payment </t>
  </si>
  <si>
    <t>29/11/2012</t>
  </si>
  <si>
    <t xml:space="preserve"> </t>
  </si>
  <si>
    <t>10/01/2012</t>
  </si>
  <si>
    <t>12/06/2012</t>
  </si>
  <si>
    <t>Addendum No.4 for Topographic survey works</t>
  </si>
  <si>
    <t>27/12/2012</t>
  </si>
  <si>
    <t>19/12/2012</t>
  </si>
  <si>
    <t>Addendum No.5 for Topographic survey works</t>
  </si>
  <si>
    <t>11/12/2012</t>
  </si>
  <si>
    <t>25/12/2012</t>
  </si>
  <si>
    <t>24/01/2013</t>
  </si>
  <si>
    <t>17/01/2013</t>
  </si>
  <si>
    <t>21/01/2013</t>
  </si>
  <si>
    <t>31/01/2013</t>
  </si>
  <si>
    <t>Engineering Geological Survey works
(Package 3A, Ky Lam Bridge section )</t>
  </si>
  <si>
    <t>05/02/2013</t>
  </si>
  <si>
    <t>Engineering Geological Survey works 
( Package 1, Tuy Loan Interchange)</t>
  </si>
  <si>
    <t>I. Topo survey</t>
  </si>
  <si>
    <t>II. Hydro survey</t>
  </si>
  <si>
    <t>III. Geo survey</t>
  </si>
  <si>
    <t>Engineering Geological Survey works
(Package A5, Tra Khuc Bridge section, Km124+979.4-km125+728.2 )</t>
  </si>
  <si>
    <t>Engineering Geological Survey works
(Package A3, Tra bong Bridge section, Km 108+775.25-km109+230.25 )</t>
  </si>
  <si>
    <t>01/02/2013</t>
  </si>
  <si>
    <t>18/01/2013</t>
  </si>
  <si>
    <t>20/02/2013</t>
  </si>
  <si>
    <t>Engineering Geological Survey works 
(Pakage 1, Alignment Shifted Section, Km0+500-km2+680)</t>
  </si>
  <si>
    <t>Finish</t>
  </si>
  <si>
    <t>18/02/2013</t>
  </si>
  <si>
    <t>01/03/2013</t>
  </si>
  <si>
    <t>21/03/2013</t>
  </si>
  <si>
    <t>Engineering Geological Survey works
(Package A4, Binh Son-Son Tinh, Km110+100-km124+700)</t>
  </si>
  <si>
    <t>12/03/2013</t>
  </si>
  <si>
    <t>14/03/2013</t>
  </si>
  <si>
    <t>21/03/2012</t>
  </si>
  <si>
    <t>JA1201065</t>
  </si>
  <si>
    <t>Engineering Geological Survey works 
(other  Interchange)</t>
  </si>
  <si>
    <t>Can not pay b/c  over payment</t>
  </si>
  <si>
    <t>28/3/2013</t>
  </si>
  <si>
    <t>19/03/2013</t>
  </si>
  <si>
    <t>JA1200492</t>
  </si>
  <si>
    <t>25/03/2013</t>
  </si>
  <si>
    <t>11/04/2013</t>
  </si>
  <si>
    <t>JA1201064</t>
  </si>
  <si>
    <t>22/04/2013</t>
  </si>
  <si>
    <t>02/05/2013</t>
  </si>
  <si>
    <t>25/04/2013</t>
  </si>
  <si>
    <t>23/05/2013</t>
  </si>
  <si>
    <t>The fourth  payment</t>
  </si>
  <si>
    <t>The fifth  payment</t>
  </si>
  <si>
    <t>price</t>
  </si>
  <si>
    <t xml:space="preserve">Contract
price </t>
  </si>
  <si>
    <t>Add No.2</t>
  </si>
  <si>
    <t>Add No.3</t>
  </si>
  <si>
    <t>Dif</t>
  </si>
  <si>
    <t>Total</t>
  </si>
  <si>
    <t>06/06/2013</t>
  </si>
  <si>
    <t>Add No.1/adjusted</t>
  </si>
  <si>
    <t>24/05/2013</t>
  </si>
  <si>
    <t>Add No.4</t>
  </si>
  <si>
    <t>Add No.5</t>
  </si>
  <si>
    <t>Addendum No.2  for Topographic survey works</t>
  </si>
  <si>
    <t>22/08-31/12/2012</t>
  </si>
  <si>
    <t>Addendum No.3  for Topographic survey works</t>
  </si>
  <si>
    <t>14/06/2013</t>
  </si>
  <si>
    <t>27/06/2013</t>
  </si>
  <si>
    <t>4/07/2013</t>
  </si>
  <si>
    <t>25/06/2013</t>
  </si>
  <si>
    <t>11/07/2013</t>
  </si>
  <si>
    <t>Hydrographic - Geology Construction Investigation
Consultancy JSC</t>
  </si>
  <si>
    <t>24/06/2013</t>
  </si>
  <si>
    <t>Material Survey Works for ATB</t>
  </si>
  <si>
    <t>05/07/2013</t>
  </si>
  <si>
    <t>18/07/2011</t>
  </si>
  <si>
    <t>10/07/2013</t>
  </si>
  <si>
    <t>18/07/2013</t>
  </si>
  <si>
    <t>08/08/2013</t>
  </si>
  <si>
    <t>Updated:130726</t>
  </si>
  <si>
    <t>'08/08/2013</t>
  </si>
  <si>
    <t>07/08/2013</t>
  </si>
  <si>
    <t>12/08/2013</t>
  </si>
  <si>
    <t>Remark</t>
  </si>
  <si>
    <t>Paid: 100% of original contract, no addendum</t>
  </si>
  <si>
    <t>Paid: 100%  of original contract, not yet paid for Add 2</t>
  </si>
  <si>
    <t>Paid: 80%  of original contract, not yet paid for Add 2&amp;3</t>
  </si>
  <si>
    <t>Addendum No.2 for populous resident areas</t>
  </si>
  <si>
    <t>Paid: 80%  of original contract</t>
  </si>
  <si>
    <t xml:space="preserve">   Paid: 80%  of original contract</t>
  </si>
  <si>
    <t xml:space="preserve">    Paid: 80%  of Addendum No.3</t>
  </si>
  <si>
    <t xml:space="preserve">   Paid: 80%  of Addendum No.2 (Project Office make a payment)</t>
  </si>
  <si>
    <t xml:space="preserve">   Paid: 100%  of original contract</t>
  </si>
  <si>
    <t xml:space="preserve">    Paid: 80%  of  original contract</t>
  </si>
  <si>
    <t xml:space="preserve">     Paid: 100%  of Addendum No.1</t>
  </si>
  <si>
    <t>Difference amount of 165.84 will be paid together with the next payment (6,584-16,4178.16)</t>
  </si>
  <si>
    <t xml:space="preserve">     Paid:80%  of Addendum No.3</t>
  </si>
  <si>
    <t xml:space="preserve">     Paid:80%  of Addendum No.4</t>
  </si>
  <si>
    <t xml:space="preserve">     Paid:80%  of Addendum No.5</t>
  </si>
  <si>
    <t>TV</t>
  </si>
  <si>
    <t xml:space="preserve">Paid 80%  of the original , NY  made the 3rd, 4th &amp; 5th paymnent </t>
  </si>
  <si>
    <t>Paid 80%  of the original.</t>
  </si>
  <si>
    <t>TK</t>
  </si>
  <si>
    <t>Paid: 80%  of original contract, but over pyment, So revised contract amount should be same as 80% of the original.</t>
  </si>
  <si>
    <t xml:space="preserve">Paid 80%  of the Add no.1 , NY  made the 3rd, final  paymnent </t>
  </si>
  <si>
    <t>Paid 100%  of the original.</t>
  </si>
  <si>
    <t>Paid 80%  of the actual quantity</t>
  </si>
  <si>
    <t>paid 100% of the original scopy, NY paid for additional scope</t>
  </si>
  <si>
    <t>Paid 80%  of the original. NY pay for supplymental works, additional works</t>
  </si>
  <si>
    <t>Paid 100% of  original scope, NY paid for final payment of additional scope</t>
  </si>
  <si>
    <t>Paid 40% of the original contract</t>
  </si>
  <si>
    <t>Paid 60% of the original contract</t>
  </si>
  <si>
    <t>VI.Other works</t>
  </si>
  <si>
    <t>DN-QN project site office paid 100%. 
Pay in VNĐ. TT đợt cuối, Cty Thủy văn phải xuất Hóa Đơn trước</t>
  </si>
  <si>
    <t>Check</t>
  </si>
  <si>
    <t>15/08/2013</t>
  </si>
  <si>
    <t>Detailed of
remaining 
amount</t>
  </si>
  <si>
    <t>Final payment : 20%  of  original contract</t>
  </si>
  <si>
    <t>HO follow</t>
  </si>
  <si>
    <t>final payment  of original scope</t>
  </si>
  <si>
    <t xml:space="preserve"> final payment  of original scope</t>
  </si>
  <si>
    <t>20%  of  original contract</t>
  </si>
  <si>
    <t>12/09/2013</t>
  </si>
  <si>
    <t>09/09/2013</t>
  </si>
  <si>
    <t>22/08/2013</t>
  </si>
  <si>
    <t>26/09/2013</t>
  </si>
  <si>
    <t>03/10/2013</t>
  </si>
  <si>
    <t>04/10/2013</t>
  </si>
  <si>
    <t>08/10/2013</t>
  </si>
  <si>
    <t>31/10/2013</t>
  </si>
  <si>
    <t>14/11/2013</t>
  </si>
  <si>
    <t>DN Office
 paid  directly</t>
  </si>
  <si>
    <t>07/11/2013</t>
  </si>
  <si>
    <t>24/10/2013</t>
  </si>
  <si>
    <t>Land acquisition &amp; Row staking works (for ROW reports No.16&amp;No.17)</t>
  </si>
  <si>
    <t>10/09/2012</t>
  </si>
  <si>
    <t>Dealine of payment</t>
  </si>
  <si>
    <t>Stop</t>
  </si>
  <si>
    <t>(Acceptance Minutes: 31 May 2013) =&gt; 30/11/2013</t>
  </si>
  <si>
    <t>19/12/2013</t>
  </si>
  <si>
    <t>05/12/2013</t>
  </si>
  <si>
    <t>29/11/2013</t>
  </si>
  <si>
    <t>TEDI</t>
  </si>
  <si>
    <t>Purchase Contract for land acquisition
and ROW stakes</t>
  </si>
  <si>
    <t>Total of
 payment</t>
  </si>
  <si>
    <t xml:space="preserve">Remaining
Amount in USD (Not yet paid) </t>
  </si>
  <si>
    <t>26/12/2013</t>
  </si>
  <si>
    <t>stop (Acceptance Minutes: 24 July 2013)
 =&gt; 23/01/2014</t>
  </si>
  <si>
    <t>(Acceptance Minutes: 24 February 2013)
 =&gt; 23/07/2013</t>
  </si>
  <si>
    <t>RCS</t>
  </si>
  <si>
    <t>Total of Contract &amp; Add</t>
  </si>
  <si>
    <t>NY completed</t>
  </si>
  <si>
    <t>stop all payment to Thang Loi  until this additional work will be settled.</t>
  </si>
  <si>
    <t>stop all payment to E&amp;R  until this additional work will be settled.</t>
  </si>
  <si>
    <t>02/01/2014</t>
  </si>
  <si>
    <t>24/12/2013</t>
  </si>
  <si>
    <t>02/01//2014</t>
  </si>
  <si>
    <t>30/12/2013</t>
  </si>
  <si>
    <t>16/01/2014</t>
  </si>
  <si>
    <t>15/01/2014</t>
  </si>
  <si>
    <t>23/01/2014</t>
  </si>
  <si>
    <t xml:space="preserve">Paid 80%  of the original , NY  made the 4th &amp; 5th paymnent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</si>
  <si>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</si>
  <si>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06/03/2013</t>
  </si>
  <si>
    <t>24/02/2014</t>
  </si>
  <si>
    <t>18/03/2013</t>
  </si>
  <si>
    <t>18/03/2014</t>
  </si>
  <si>
    <t>03/04/2014</t>
  </si>
  <si>
    <t>The final payment</t>
  </si>
  <si>
    <t>Joint venture of independent valuation consultance Co of DN-Qnam-Qngai</t>
  </si>
  <si>
    <t>The first payment</t>
  </si>
  <si>
    <t>Total of
 paid amount</t>
  </si>
  <si>
    <t xml:space="preserve">
 100%  of additional work (USD 100,100.00)</t>
  </si>
  <si>
    <t xml:space="preserve">
 100%  of additional work (USD 16,736.)</t>
  </si>
  <si>
    <t xml:space="preserve">
 100%  of additional work (USD 38,500)</t>
  </si>
  <si>
    <t xml:space="preserve">
 100%  of additional work (USD 8,434)</t>
  </si>
  <si>
    <t>09/05/2014</t>
  </si>
  <si>
    <t>17/04/2014</t>
  </si>
  <si>
    <t>Adjust 140602</t>
  </si>
  <si>
    <t>ok</t>
  </si>
  <si>
    <t xml:space="preserve">TT lan 4:8368
TT lan cuoi:8368.60
</t>
  </si>
  <si>
    <t xml:space="preserve">TT lan 4:4217
TT lan cuoi:4216.4
</t>
  </si>
  <si>
    <t>OK</t>
  </si>
  <si>
    <t xml:space="preserve">
TT  lần cuối: USD 106369,2</t>
  </si>
  <si>
    <t>50%  of  additional work (USD 212,740)</t>
  </si>
  <si>
    <t>19/06/2014</t>
  </si>
  <si>
    <t>III. Breakdown for payment</t>
  </si>
  <si>
    <t>A. Claimed by invoice and HO processed</t>
  </si>
  <si>
    <t>B. not yet Claimed by invoice by Sub-Consultant</t>
  </si>
  <si>
    <t>JA1100754</t>
  </si>
  <si>
    <t>JA1200491</t>
  </si>
  <si>
    <t>JA1200493</t>
  </si>
  <si>
    <t>JA1200513</t>
  </si>
  <si>
    <t>JA1200558</t>
  </si>
  <si>
    <t>JA1200559</t>
  </si>
  <si>
    <t>JA1200478</t>
  </si>
  <si>
    <t>JA1200629</t>
  </si>
  <si>
    <t>JA1200630</t>
  </si>
  <si>
    <t>JA1200922</t>
  </si>
  <si>
    <t>JA1201071</t>
  </si>
  <si>
    <t>JA1400350</t>
  </si>
  <si>
    <t xml:space="preserve">Remaining
Amount in USD </t>
  </si>
  <si>
    <t>B. Claimed by invoice, but not yet processed by HO</t>
  </si>
  <si>
    <t>03/07/2014</t>
  </si>
  <si>
    <t>10/07/2014</t>
  </si>
  <si>
    <t>21/07/2014</t>
  </si>
  <si>
    <t>14/08/2014</t>
  </si>
  <si>
    <t>28/08/2014</t>
  </si>
  <si>
    <t>05/08/2014</t>
  </si>
  <si>
    <t>The sixth  payment</t>
  </si>
  <si>
    <t>30/09/2014</t>
  </si>
  <si>
    <t>04/12/2014</t>
  </si>
  <si>
    <t>Closed</t>
  </si>
  <si>
    <t>25%  of  additional work</t>
  </si>
  <si>
    <t>100% off additional works</t>
  </si>
  <si>
    <t>II. Summary for  Sub-Contract by Sub-Consultant</t>
  </si>
  <si>
    <t>11/12/2014</t>
  </si>
  <si>
    <t>JA1200309</t>
  </si>
  <si>
    <t>31/12/2014</t>
  </si>
  <si>
    <t>12/02/2015</t>
  </si>
  <si>
    <t xml:space="preserve"> 2/4/2015 </t>
  </si>
  <si>
    <t>02/04/2015</t>
  </si>
  <si>
    <t>Maybe in Dec 2015</t>
  </si>
  <si>
    <t>Updated 151203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</si>
</sst>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0.000"/>
    <numFmt numFmtId="166" formatCode="#,##0.000000000000000"/>
  </numFmts>
  <fonts count="15" x14ac:knownFonts="1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Times New Roman"/>
      <family val="1"/>
    </font>
    <font>
      <sz val="9"/>
      <color rgb="FFFF0000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sz val="9"/>
      <color rgb="FF00B050"/>
      <name val="Times New Roman"/>
      <family val="1"/>
    </font>
    <font>
      <b/>
      <sz val="14"/>
      <color rgb="FFFF0000"/>
      <name val="Times New Roman"/>
      <family val="1"/>
    </font>
    <font>
      <b/>
      <sz val="12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39BE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0">
    <xf numFmtId="0" fontId="0" fillId="0" borderId="0" xfId="0"/>
    <xf numFmtId="0" fontId="5" fillId="0" borderId="3" xfId="0" applyFont="1" applyBorder="1" applyAlignment="1">
      <alignment horizontal="left" vertical="center"/>
    </xf>
    <xf numFmtId="3" fontId="5" fillId="0" borderId="3" xfId="0" applyNumberFormat="1" applyFont="1" applyBorder="1" applyAlignment="1">
      <alignment horizontal="right" vertical="center"/>
    </xf>
    <xf numFmtId="4" fontId="5" fillId="4" borderId="3" xfId="0" applyNumberFormat="1" applyFont="1" applyFill="1" applyBorder="1" applyAlignment="1">
      <alignment horizontal="right" vertical="center"/>
    </xf>
    <xf numFmtId="4" fontId="5" fillId="4" borderId="4" xfId="0" applyNumberFormat="1" applyFont="1" applyFill="1" applyBorder="1" applyAlignment="1">
      <alignment horizontal="right" vertical="center"/>
    </xf>
    <xf numFmtId="4" fontId="5" fillId="6" borderId="4" xfId="0" applyNumberFormat="1" applyFont="1" applyFill="1" applyBorder="1" applyAlignment="1">
      <alignment horizontal="right" vertical="center"/>
    </xf>
    <xf numFmtId="14" fontId="5" fillId="3" borderId="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4" fontId="7" fillId="2" borderId="3" xfId="0" applyNumberFormat="1" applyFont="1" applyFill="1" applyBorder="1" applyAlignment="1">
      <alignment horizontal="right" vertical="center"/>
    </xf>
    <xf numFmtId="3" fontId="7" fillId="2" borderId="3" xfId="0" applyNumberFormat="1" applyFont="1" applyFill="1" applyBorder="1" applyAlignment="1">
      <alignment horizontal="right" vertical="center"/>
    </xf>
    <xf numFmtId="4" fontId="7" fillId="4" borderId="3" xfId="0" applyNumberFormat="1" applyFont="1" applyFill="1" applyBorder="1" applyAlignment="1">
      <alignment horizontal="right" vertical="center"/>
    </xf>
    <xf numFmtId="4" fontId="7" fillId="6" borderId="3" xfId="0" applyNumberFormat="1" applyFont="1" applyFill="1" applyBorder="1" applyAlignment="1">
      <alignment horizontal="right" vertical="center"/>
    </xf>
    <xf numFmtId="0" fontId="7" fillId="0" borderId="3" xfId="0" applyFont="1" applyFill="1" applyBorder="1" applyAlignment="1">
      <alignment vertical="center"/>
    </xf>
    <xf numFmtId="0" fontId="7" fillId="0" borderId="0" xfId="0" applyFont="1"/>
    <xf numFmtId="3" fontId="5" fillId="4" borderId="3" xfId="0" applyNumberFormat="1" applyFont="1" applyFill="1" applyBorder="1" applyAlignment="1">
      <alignment horizontal="right" vertical="center"/>
    </xf>
    <xf numFmtId="3" fontId="5" fillId="4" borderId="4" xfId="0" applyNumberFormat="1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vertical="center" wrapText="1"/>
    </xf>
    <xf numFmtId="3" fontId="7" fillId="0" borderId="3" xfId="0" applyNumberFormat="1" applyFont="1" applyFill="1" applyBorder="1" applyAlignment="1">
      <alignment horizontal="right" vertical="center"/>
    </xf>
    <xf numFmtId="3" fontId="7" fillId="4" borderId="3" xfId="0" applyNumberFormat="1" applyFont="1" applyFill="1" applyBorder="1" applyAlignment="1">
      <alignment horizontal="right" vertical="center"/>
    </xf>
    <xf numFmtId="14" fontId="7" fillId="0" borderId="3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" fontId="11" fillId="2" borderId="3" xfId="0" applyNumberFormat="1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4" fontId="11" fillId="4" borderId="3" xfId="0" applyNumberFormat="1" applyFont="1" applyFill="1" applyBorder="1" applyAlignment="1">
      <alignment horizontal="center" vertical="center" wrapText="1"/>
    </xf>
    <xf numFmtId="3" fontId="11" fillId="4" borderId="3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/>
    <xf numFmtId="4" fontId="7" fillId="0" borderId="3" xfId="0" applyNumberFormat="1" applyFont="1" applyFill="1" applyBorder="1" applyAlignment="1">
      <alignment horizontal="right" vertical="center"/>
    </xf>
    <xf numFmtId="164" fontId="7" fillId="0" borderId="3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4" fontId="7" fillId="0" borderId="0" xfId="0" applyNumberFormat="1" applyFont="1"/>
    <xf numFmtId="0" fontId="7" fillId="0" borderId="4" xfId="0" applyFont="1" applyFill="1" applyBorder="1" applyAlignment="1">
      <alignment horizontal="left" vertical="center"/>
    </xf>
    <xf numFmtId="14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 wrapText="1"/>
    </xf>
    <xf numFmtId="3" fontId="7" fillId="0" borderId="4" xfId="0" applyNumberFormat="1" applyFont="1" applyFill="1" applyBorder="1" applyAlignment="1">
      <alignment horizontal="right" vertical="center"/>
    </xf>
    <xf numFmtId="4" fontId="7" fillId="2" borderId="4" xfId="0" applyNumberFormat="1" applyFont="1" applyFill="1" applyBorder="1" applyAlignment="1">
      <alignment horizontal="right" vertical="center"/>
    </xf>
    <xf numFmtId="3" fontId="7" fillId="2" borderId="4" xfId="0" applyNumberFormat="1" applyFont="1" applyFill="1" applyBorder="1" applyAlignment="1">
      <alignment horizontal="right" vertical="center"/>
    </xf>
    <xf numFmtId="4" fontId="7" fillId="4" borderId="4" xfId="0" applyNumberFormat="1" applyFont="1" applyFill="1" applyBorder="1" applyAlignment="1">
      <alignment horizontal="right" vertical="center"/>
    </xf>
    <xf numFmtId="3" fontId="7" fillId="4" borderId="4" xfId="0" applyNumberFormat="1" applyFont="1" applyFill="1" applyBorder="1" applyAlignment="1">
      <alignment horizontal="right" vertical="center"/>
    </xf>
    <xf numFmtId="4" fontId="7" fillId="6" borderId="4" xfId="0" applyNumberFormat="1" applyFont="1" applyFill="1" applyBorder="1" applyAlignment="1">
      <alignment horizontal="right" vertical="center"/>
    </xf>
    <xf numFmtId="0" fontId="7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 wrapText="1"/>
    </xf>
    <xf numFmtId="4" fontId="7" fillId="0" borderId="4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vertical="center"/>
    </xf>
    <xf numFmtId="0" fontId="7" fillId="0" borderId="3" xfId="0" applyFont="1" applyFill="1" applyBorder="1"/>
    <xf numFmtId="3" fontId="11" fillId="0" borderId="1" xfId="0" applyNumberFormat="1" applyFont="1" applyFill="1" applyBorder="1" applyAlignment="1">
      <alignment horizontal="right" vertical="center"/>
    </xf>
    <xf numFmtId="0" fontId="11" fillId="0" borderId="0" xfId="0" applyFont="1"/>
    <xf numFmtId="14" fontId="7" fillId="0" borderId="3" xfId="0" quotePrefix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3" fontId="11" fillId="8" borderId="3" xfId="0" applyNumberFormat="1" applyFont="1" applyFill="1" applyBorder="1" applyAlignment="1">
      <alignment horizontal="right" vertical="center"/>
    </xf>
    <xf numFmtId="14" fontId="11" fillId="2" borderId="3" xfId="0" applyNumberFormat="1" applyFont="1" applyFill="1" applyBorder="1" applyAlignment="1">
      <alignment horizontal="center" vertical="center" wrapText="1"/>
    </xf>
    <xf numFmtId="14" fontId="7" fillId="2" borderId="3" xfId="0" applyNumberFormat="1" applyFont="1" applyFill="1" applyBorder="1" applyAlignment="1">
      <alignment horizontal="right" vertical="center"/>
    </xf>
    <xf numFmtId="14" fontId="7" fillId="2" borderId="4" xfId="0" applyNumberFormat="1" applyFont="1" applyFill="1" applyBorder="1" applyAlignment="1">
      <alignment horizontal="right" vertical="center"/>
    </xf>
    <xf numFmtId="14" fontId="7" fillId="2" borderId="3" xfId="0" quotePrefix="1" applyNumberFormat="1" applyFont="1" applyFill="1" applyBorder="1" applyAlignment="1">
      <alignment horizontal="right" vertical="center"/>
    </xf>
    <xf numFmtId="0" fontId="7" fillId="0" borderId="6" xfId="0" applyFont="1" applyBorder="1" applyAlignment="1">
      <alignment horizontal="left" vertical="center"/>
    </xf>
    <xf numFmtId="3" fontId="7" fillId="2" borderId="3" xfId="0" quotePrefix="1" applyNumberFormat="1" applyFont="1" applyFill="1" applyBorder="1" applyAlignment="1">
      <alignment horizontal="right" vertical="center"/>
    </xf>
    <xf numFmtId="3" fontId="7" fillId="4" borderId="3" xfId="0" quotePrefix="1" applyNumberFormat="1" applyFont="1" applyFill="1" applyBorder="1" applyAlignment="1">
      <alignment horizontal="right" vertical="center"/>
    </xf>
    <xf numFmtId="3" fontId="7" fillId="2" borderId="4" xfId="0" quotePrefix="1" applyNumberFormat="1" applyFont="1" applyFill="1" applyBorder="1" applyAlignment="1">
      <alignment horizontal="right" vertical="center"/>
    </xf>
    <xf numFmtId="14" fontId="7" fillId="2" borderId="4" xfId="0" quotePrefix="1" applyNumberFormat="1" applyFont="1" applyFill="1" applyBorder="1" applyAlignment="1">
      <alignment horizontal="right" vertical="center"/>
    </xf>
    <xf numFmtId="4" fontId="7" fillId="9" borderId="3" xfId="0" applyNumberFormat="1" applyFont="1" applyFill="1" applyBorder="1" applyAlignment="1">
      <alignment horizontal="right" vertical="center"/>
    </xf>
    <xf numFmtId="3" fontId="7" fillId="9" borderId="3" xfId="0" applyNumberFormat="1" applyFont="1" applyFill="1" applyBorder="1" applyAlignment="1">
      <alignment horizontal="right" vertical="center"/>
    </xf>
    <xf numFmtId="3" fontId="7" fillId="9" borderId="3" xfId="0" quotePrefix="1" applyNumberFormat="1" applyFont="1" applyFill="1" applyBorder="1" applyAlignment="1">
      <alignment horizontal="right" vertical="center"/>
    </xf>
    <xf numFmtId="4" fontId="7" fillId="9" borderId="4" xfId="0" applyNumberFormat="1" applyFont="1" applyFill="1" applyBorder="1" applyAlignment="1">
      <alignment horizontal="right" vertical="center"/>
    </xf>
    <xf numFmtId="3" fontId="7" fillId="9" borderId="4" xfId="0" applyNumberFormat="1" applyFont="1" applyFill="1" applyBorder="1" applyAlignment="1">
      <alignment horizontal="right" vertical="center"/>
    </xf>
    <xf numFmtId="3" fontId="5" fillId="6" borderId="4" xfId="0" applyNumberFormat="1" applyFont="1" applyFill="1" applyBorder="1" applyAlignment="1">
      <alignment horizontal="right" vertical="center"/>
    </xf>
    <xf numFmtId="3" fontId="7" fillId="4" borderId="4" xfId="0" quotePrefix="1" applyNumberFormat="1" applyFont="1" applyFill="1" applyBorder="1" applyAlignment="1">
      <alignment horizontal="right" vertical="center"/>
    </xf>
    <xf numFmtId="4" fontId="12" fillId="9" borderId="3" xfId="0" applyNumberFormat="1" applyFont="1" applyFill="1" applyBorder="1" applyAlignment="1">
      <alignment horizontal="right" vertical="center"/>
    </xf>
    <xf numFmtId="3" fontId="12" fillId="9" borderId="3" xfId="0" applyNumberFormat="1" applyFont="1" applyFill="1" applyBorder="1" applyAlignment="1">
      <alignment horizontal="right" vertical="center"/>
    </xf>
    <xf numFmtId="4" fontId="12" fillId="6" borderId="3" xfId="0" applyNumberFormat="1" applyFont="1" applyFill="1" applyBorder="1" applyAlignment="1">
      <alignment horizontal="right" vertical="center"/>
    </xf>
    <xf numFmtId="0" fontId="12" fillId="0" borderId="3" xfId="0" applyFont="1" applyBorder="1" applyAlignment="1">
      <alignment horizontal="left" vertical="center"/>
    </xf>
    <xf numFmtId="0" fontId="12" fillId="0" borderId="0" xfId="0" applyFont="1"/>
    <xf numFmtId="4" fontId="7" fillId="6" borderId="3" xfId="0" quotePrefix="1" applyNumberFormat="1" applyFont="1" applyFill="1" applyBorder="1" applyAlignment="1">
      <alignment horizontal="right" vertical="center"/>
    </xf>
    <xf numFmtId="3" fontId="7" fillId="2" borderId="3" xfId="0" applyNumberFormat="1" applyFont="1" applyFill="1" applyBorder="1" applyAlignment="1">
      <alignment horizontal="right" vertical="center" wrapText="1"/>
    </xf>
    <xf numFmtId="0" fontId="7" fillId="10" borderId="0" xfId="0" applyFont="1" applyFill="1"/>
    <xf numFmtId="3" fontId="7" fillId="4" borderId="4" xfId="0" applyNumberFormat="1" applyFont="1" applyFill="1" applyBorder="1" applyAlignment="1">
      <alignment horizontal="right" vertical="center" wrapText="1"/>
    </xf>
    <xf numFmtId="0" fontId="7" fillId="0" borderId="3" xfId="0" applyFont="1" applyBorder="1" applyAlignment="1">
      <alignment vertical="center"/>
    </xf>
    <xf numFmtId="3" fontId="7" fillId="0" borderId="3" xfId="0" applyNumberFormat="1" applyFont="1" applyBorder="1" applyAlignment="1">
      <alignment horizontal="right" vertical="center"/>
    </xf>
    <xf numFmtId="3" fontId="7" fillId="6" borderId="3" xfId="0" applyNumberFormat="1" applyFont="1" applyFill="1" applyBorder="1" applyAlignment="1">
      <alignment horizontal="right" vertical="center"/>
    </xf>
    <xf numFmtId="4" fontId="7" fillId="7" borderId="3" xfId="0" applyNumberFormat="1" applyFont="1" applyFill="1" applyBorder="1" applyAlignment="1">
      <alignment horizontal="right" vertical="center"/>
    </xf>
    <xf numFmtId="4" fontId="12" fillId="2" borderId="3" xfId="0" applyNumberFormat="1" applyFont="1" applyFill="1" applyBorder="1" applyAlignment="1">
      <alignment horizontal="right" vertical="center"/>
    </xf>
    <xf numFmtId="3" fontId="12" fillId="2" borderId="3" xfId="0" applyNumberFormat="1" applyFont="1" applyFill="1" applyBorder="1" applyAlignment="1">
      <alignment horizontal="right" vertical="center"/>
    </xf>
    <xf numFmtId="4" fontId="7" fillId="11" borderId="3" xfId="0" applyNumberFormat="1" applyFont="1" applyFill="1" applyBorder="1" applyAlignment="1">
      <alignment horizontal="right" vertical="center"/>
    </xf>
    <xf numFmtId="3" fontId="7" fillId="11" borderId="3" xfId="0" applyNumberFormat="1" applyFont="1" applyFill="1" applyBorder="1" applyAlignment="1">
      <alignment horizontal="right" vertical="center"/>
    </xf>
    <xf numFmtId="4" fontId="7" fillId="11" borderId="4" xfId="0" applyNumberFormat="1" applyFont="1" applyFill="1" applyBorder="1" applyAlignment="1">
      <alignment horizontal="right" vertical="center"/>
    </xf>
    <xf numFmtId="3" fontId="7" fillId="11" borderId="4" xfId="0" applyNumberFormat="1" applyFont="1" applyFill="1" applyBorder="1" applyAlignment="1">
      <alignment horizontal="right" vertical="center"/>
    </xf>
    <xf numFmtId="3" fontId="7" fillId="11" borderId="3" xfId="0" quotePrefix="1" applyNumberFormat="1" applyFont="1" applyFill="1" applyBorder="1" applyAlignment="1">
      <alignment horizontal="right" vertical="center"/>
    </xf>
    <xf numFmtId="4" fontId="12" fillId="11" borderId="3" xfId="0" applyNumberFormat="1" applyFont="1" applyFill="1" applyBorder="1" applyAlignment="1">
      <alignment horizontal="right" vertical="center"/>
    </xf>
    <xf numFmtId="3" fontId="12" fillId="11" borderId="3" xfId="0" applyNumberFormat="1" applyFont="1" applyFill="1" applyBorder="1" applyAlignment="1">
      <alignment horizontal="right" vertical="center"/>
    </xf>
    <xf numFmtId="3" fontId="11" fillId="7" borderId="6" xfId="0" applyNumberFormat="1" applyFont="1" applyFill="1" applyBorder="1" applyAlignment="1">
      <alignment horizontal="center" vertical="center" wrapText="1"/>
    </xf>
    <xf numFmtId="3" fontId="7" fillId="7" borderId="3" xfId="0" applyNumberFormat="1" applyFont="1" applyFill="1" applyBorder="1" applyAlignment="1">
      <alignment horizontal="right" vertical="center"/>
    </xf>
    <xf numFmtId="3" fontId="7" fillId="7" borderId="4" xfId="0" applyNumberFormat="1" applyFont="1" applyFill="1" applyBorder="1" applyAlignment="1">
      <alignment horizontal="right" vertical="center"/>
    </xf>
    <xf numFmtId="3" fontId="11" fillId="12" borderId="6" xfId="0" applyNumberFormat="1" applyFont="1" applyFill="1" applyBorder="1" applyAlignment="1">
      <alignment horizontal="center" vertical="center" wrapText="1"/>
    </xf>
    <xf numFmtId="3" fontId="7" fillId="12" borderId="3" xfId="0" applyNumberFormat="1" applyFont="1" applyFill="1" applyBorder="1" applyAlignment="1">
      <alignment horizontal="right" vertical="center"/>
    </xf>
    <xf numFmtId="4" fontId="7" fillId="12" borderId="3" xfId="0" applyNumberFormat="1" applyFont="1" applyFill="1" applyBorder="1" applyAlignment="1">
      <alignment horizontal="right" vertical="center"/>
    </xf>
    <xf numFmtId="3" fontId="7" fillId="12" borderId="4" xfId="0" applyNumberFormat="1" applyFont="1" applyFill="1" applyBorder="1" applyAlignment="1">
      <alignment horizontal="right" vertical="center"/>
    </xf>
    <xf numFmtId="3" fontId="11" fillId="13" borderId="6" xfId="0" applyNumberFormat="1" applyFont="1" applyFill="1" applyBorder="1" applyAlignment="1">
      <alignment horizontal="center" vertical="center" wrapText="1"/>
    </xf>
    <xf numFmtId="3" fontId="7" fillId="13" borderId="3" xfId="0" applyNumberFormat="1" applyFont="1" applyFill="1" applyBorder="1" applyAlignment="1">
      <alignment horizontal="right" vertical="center"/>
    </xf>
    <xf numFmtId="4" fontId="7" fillId="13" borderId="3" xfId="0" applyNumberFormat="1" applyFont="1" applyFill="1" applyBorder="1" applyAlignment="1">
      <alignment horizontal="right" vertical="center"/>
    </xf>
    <xf numFmtId="3" fontId="7" fillId="13" borderId="4" xfId="0" applyNumberFormat="1" applyFont="1" applyFill="1" applyBorder="1" applyAlignment="1">
      <alignment horizontal="right" vertical="center"/>
    </xf>
    <xf numFmtId="3" fontId="7" fillId="4" borderId="4" xfId="0" quotePrefix="1" applyNumberFormat="1" applyFont="1" applyFill="1" applyBorder="1" applyAlignment="1">
      <alignment horizontal="right" vertical="center" wrapText="1"/>
    </xf>
    <xf numFmtId="3" fontId="11" fillId="14" borderId="6" xfId="0" applyNumberFormat="1" applyFont="1" applyFill="1" applyBorder="1" applyAlignment="1">
      <alignment horizontal="center" vertical="center" wrapText="1"/>
    </xf>
    <xf numFmtId="3" fontId="7" fillId="14" borderId="3" xfId="0" applyNumberFormat="1" applyFont="1" applyFill="1" applyBorder="1" applyAlignment="1">
      <alignment horizontal="right" vertical="center"/>
    </xf>
    <xf numFmtId="4" fontId="7" fillId="14" borderId="3" xfId="0" applyNumberFormat="1" applyFont="1" applyFill="1" applyBorder="1" applyAlignment="1">
      <alignment horizontal="right" vertical="center"/>
    </xf>
    <xf numFmtId="3" fontId="7" fillId="14" borderId="4" xfId="0" applyNumberFormat="1" applyFont="1" applyFill="1" applyBorder="1" applyAlignment="1">
      <alignment horizontal="right" vertical="center"/>
    </xf>
    <xf numFmtId="164" fontId="7" fillId="7" borderId="3" xfId="0" applyNumberFormat="1" applyFont="1" applyFill="1" applyBorder="1" applyAlignment="1">
      <alignment horizontal="right" vertical="center"/>
    </xf>
    <xf numFmtId="164" fontId="7" fillId="14" borderId="3" xfId="0" applyNumberFormat="1" applyFont="1" applyFill="1" applyBorder="1" applyAlignment="1">
      <alignment horizontal="right" vertical="center"/>
    </xf>
    <xf numFmtId="164" fontId="7" fillId="12" borderId="3" xfId="0" applyNumberFormat="1" applyFont="1" applyFill="1" applyBorder="1" applyAlignment="1">
      <alignment horizontal="right" vertical="center"/>
    </xf>
    <xf numFmtId="14" fontId="7" fillId="3" borderId="3" xfId="0" applyNumberFormat="1" applyFont="1" applyFill="1" applyBorder="1" applyAlignment="1">
      <alignment horizontal="center" vertical="center"/>
    </xf>
    <xf numFmtId="4" fontId="6" fillId="9" borderId="3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left" vertical="center" wrapText="1"/>
    </xf>
    <xf numFmtId="3" fontId="7" fillId="4" borderId="3" xfId="0" quotePrefix="1" applyNumberFormat="1" applyFont="1" applyFill="1" applyBorder="1" applyAlignment="1">
      <alignment horizontal="right" vertical="center" wrapText="1"/>
    </xf>
    <xf numFmtId="0" fontId="7" fillId="0" borderId="0" xfId="0" applyFont="1" applyFill="1"/>
    <xf numFmtId="0" fontId="7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left" vertical="center"/>
    </xf>
    <xf numFmtId="0" fontId="7" fillId="6" borderId="3" xfId="0" applyFont="1" applyFill="1" applyBorder="1" applyAlignment="1">
      <alignment vertical="center"/>
    </xf>
    <xf numFmtId="14" fontId="7" fillId="6" borderId="3" xfId="0" quotePrefix="1" applyNumberFormat="1" applyFont="1" applyFill="1" applyBorder="1" applyAlignment="1">
      <alignment horizontal="right" vertical="center"/>
    </xf>
    <xf numFmtId="164" fontId="7" fillId="6" borderId="3" xfId="0" applyNumberFormat="1" applyFont="1" applyFill="1" applyBorder="1" applyAlignment="1">
      <alignment horizontal="center" vertical="center"/>
    </xf>
    <xf numFmtId="3" fontId="7" fillId="6" borderId="3" xfId="0" applyNumberFormat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vertical="center" wrapText="1"/>
    </xf>
    <xf numFmtId="0" fontId="7" fillId="6" borderId="0" xfId="0" applyFont="1" applyFill="1"/>
    <xf numFmtId="14" fontId="7" fillId="6" borderId="3" xfId="0" applyNumberFormat="1" applyFont="1" applyFill="1" applyBorder="1" applyAlignment="1">
      <alignment horizontal="right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left" vertical="center"/>
    </xf>
    <xf numFmtId="0" fontId="7" fillId="6" borderId="4" xfId="0" quotePrefix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vertical="center" wrapText="1"/>
    </xf>
    <xf numFmtId="3" fontId="7" fillId="6" borderId="4" xfId="0" applyNumberFormat="1" applyFont="1" applyFill="1" applyBorder="1" applyAlignment="1">
      <alignment horizontal="right" vertical="center"/>
    </xf>
    <xf numFmtId="14" fontId="7" fillId="6" borderId="4" xfId="0" quotePrefix="1" applyNumberFormat="1" applyFont="1" applyFill="1" applyBorder="1" applyAlignment="1">
      <alignment horizontal="right" vertical="center"/>
    </xf>
    <xf numFmtId="3" fontId="7" fillId="6" borderId="4" xfId="0" quotePrefix="1" applyNumberFormat="1" applyFont="1" applyFill="1" applyBorder="1" applyAlignment="1">
      <alignment horizontal="right" vertical="center"/>
    </xf>
    <xf numFmtId="3" fontId="7" fillId="9" borderId="3" xfId="0" applyNumberFormat="1" applyFont="1" applyFill="1" applyBorder="1" applyAlignment="1">
      <alignment horizontal="right" vertical="center" wrapText="1"/>
    </xf>
    <xf numFmtId="14" fontId="7" fillId="0" borderId="4" xfId="0" applyNumberFormat="1" applyFont="1" applyFill="1" applyBorder="1" applyAlignment="1">
      <alignment horizontal="right" vertical="center"/>
    </xf>
    <xf numFmtId="3" fontId="7" fillId="0" borderId="4" xfId="0" quotePrefix="1" applyNumberFormat="1" applyFont="1" applyFill="1" applyBorder="1" applyAlignment="1">
      <alignment horizontal="right" vertical="center"/>
    </xf>
    <xf numFmtId="3" fontId="7" fillId="0" borderId="3" xfId="0" applyNumberFormat="1" applyFont="1" applyFill="1" applyBorder="1" applyAlignment="1">
      <alignment horizontal="center" vertical="center"/>
    </xf>
    <xf numFmtId="4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 wrapText="1"/>
    </xf>
    <xf numFmtId="3" fontId="5" fillId="4" borderId="3" xfId="0" quotePrefix="1" applyNumberFormat="1" applyFont="1" applyFill="1" applyBorder="1" applyAlignment="1">
      <alignment horizontal="right" vertical="center" wrapText="1"/>
    </xf>
    <xf numFmtId="3" fontId="5" fillId="4" borderId="4" xfId="0" applyNumberFormat="1" applyFont="1" applyFill="1" applyBorder="1" applyAlignment="1">
      <alignment horizontal="right" vertical="center" wrapText="1"/>
    </xf>
    <xf numFmtId="3" fontId="5" fillId="4" borderId="3" xfId="0" applyNumberFormat="1" applyFont="1" applyFill="1" applyBorder="1" applyAlignment="1">
      <alignment horizontal="right" vertical="center" wrapText="1"/>
    </xf>
    <xf numFmtId="164" fontId="7" fillId="16" borderId="3" xfId="0" applyNumberFormat="1" applyFont="1" applyFill="1" applyBorder="1" applyAlignment="1">
      <alignment horizontal="center" vertical="center"/>
    </xf>
    <xf numFmtId="164" fontId="7" fillId="16" borderId="3" xfId="0" applyNumberFormat="1" applyFont="1" applyFill="1" applyBorder="1" applyAlignment="1">
      <alignment horizontal="center" vertical="center" wrapText="1"/>
    </xf>
    <xf numFmtId="3" fontId="11" fillId="16" borderId="1" xfId="0" applyNumberFormat="1" applyFont="1" applyFill="1" applyBorder="1" applyAlignment="1">
      <alignment horizontal="right" vertical="center"/>
    </xf>
    <xf numFmtId="3" fontId="7" fillId="9" borderId="4" xfId="0" applyNumberFormat="1" applyFont="1" applyFill="1" applyBorder="1" applyAlignment="1">
      <alignment horizontal="right" vertical="center" wrapText="1"/>
    </xf>
    <xf numFmtId="4" fontId="7" fillId="9" borderId="4" xfId="0" quotePrefix="1" applyNumberFormat="1" applyFont="1" applyFill="1" applyBorder="1" applyAlignment="1">
      <alignment horizontal="right" vertical="center" wrapText="1"/>
    </xf>
    <xf numFmtId="3" fontId="7" fillId="0" borderId="4" xfId="0" applyNumberFormat="1" applyFont="1" applyBorder="1" applyAlignment="1">
      <alignment horizontal="left" vertical="center"/>
    </xf>
    <xf numFmtId="3" fontId="7" fillId="6" borderId="3" xfId="0" quotePrefix="1" applyNumberFormat="1" applyFont="1" applyFill="1" applyBorder="1" applyAlignment="1">
      <alignment horizontal="right" vertical="center" wrapText="1"/>
    </xf>
    <xf numFmtId="3" fontId="7" fillId="9" borderId="3" xfId="0" quotePrefix="1" applyNumberFormat="1" applyFont="1" applyFill="1" applyBorder="1" applyAlignment="1">
      <alignment horizontal="right" vertical="center" wrapText="1"/>
    </xf>
    <xf numFmtId="4" fontId="7" fillId="4" borderId="3" xfId="0" applyNumberFormat="1" applyFont="1" applyFill="1" applyBorder="1" applyAlignment="1">
      <alignment horizontal="right" vertical="center" wrapText="1"/>
    </xf>
    <xf numFmtId="3" fontId="7" fillId="2" borderId="3" xfId="0" quotePrefix="1" applyNumberFormat="1" applyFont="1" applyFill="1" applyBorder="1" applyAlignment="1">
      <alignment horizontal="right" vertical="center" wrapText="1"/>
    </xf>
    <xf numFmtId="3" fontId="7" fillId="4" borderId="3" xfId="0" applyNumberFormat="1" applyFont="1" applyFill="1" applyBorder="1" applyAlignment="1">
      <alignment horizontal="right" vertical="center" wrapText="1"/>
    </xf>
    <xf numFmtId="3" fontId="7" fillId="9" borderId="3" xfId="0" applyNumberFormat="1" applyFont="1" applyFill="1" applyBorder="1" applyAlignment="1">
      <alignment horizontal="center" vertical="center" wrapText="1"/>
    </xf>
    <xf numFmtId="14" fontId="7" fillId="0" borderId="4" xfId="0" quotePrefix="1" applyNumberFormat="1" applyFont="1" applyFill="1" applyBorder="1" applyAlignment="1">
      <alignment horizontal="center" vertical="center"/>
    </xf>
    <xf numFmtId="4" fontId="6" fillId="6" borderId="4" xfId="0" applyNumberFormat="1" applyFont="1" applyFill="1" applyBorder="1" applyAlignment="1">
      <alignment horizontal="right" vertical="center"/>
    </xf>
    <xf numFmtId="3" fontId="12" fillId="6" borderId="3" xfId="0" applyNumberFormat="1" applyFont="1" applyFill="1" applyBorder="1" applyAlignment="1">
      <alignment horizontal="right" vertical="center"/>
    </xf>
    <xf numFmtId="3" fontId="6" fillId="6" borderId="4" xfId="0" applyNumberFormat="1" applyFont="1" applyFill="1" applyBorder="1" applyAlignment="1">
      <alignment horizontal="right" vertical="center"/>
    </xf>
    <xf numFmtId="3" fontId="7" fillId="2" borderId="4" xfId="0" applyNumberFormat="1" applyFont="1" applyFill="1" applyBorder="1" applyAlignment="1">
      <alignment horizontal="right" vertical="center" wrapText="1"/>
    </xf>
    <xf numFmtId="3" fontId="7" fillId="9" borderId="4" xfId="0" quotePrefix="1" applyNumberFormat="1" applyFont="1" applyFill="1" applyBorder="1" applyAlignment="1">
      <alignment horizontal="right" vertical="center"/>
    </xf>
    <xf numFmtId="0" fontId="11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4" fontId="7" fillId="17" borderId="3" xfId="0" applyNumberFormat="1" applyFont="1" applyFill="1" applyBorder="1" applyAlignment="1">
      <alignment horizontal="right" vertical="center"/>
    </xf>
    <xf numFmtId="4" fontId="11" fillId="8" borderId="3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 applyAlignment="1">
      <alignment horizontal="left"/>
    </xf>
    <xf numFmtId="0" fontId="9" fillId="0" borderId="0" xfId="0" applyFont="1" applyFill="1"/>
    <xf numFmtId="0" fontId="9" fillId="0" borderId="0" xfId="0" applyFont="1" applyFill="1" applyAlignment="1"/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4" fontId="9" fillId="0" borderId="0" xfId="0" applyNumberFormat="1" applyFont="1" applyFill="1" applyAlignment="1">
      <alignment horizontal="right"/>
    </xf>
    <xf numFmtId="4" fontId="9" fillId="0" borderId="0" xfId="0" applyNumberFormat="1" applyFont="1" applyFill="1"/>
    <xf numFmtId="3" fontId="9" fillId="0" borderId="0" xfId="0" applyNumberFormat="1" applyFont="1" applyFill="1"/>
    <xf numFmtId="0" fontId="9" fillId="0" borderId="0" xfId="0" applyFont="1" applyFill="1" applyAlignment="1">
      <alignment horizontal="center"/>
    </xf>
    <xf numFmtId="4" fontId="8" fillId="0" borderId="0" xfId="0" applyNumberFormat="1" applyFont="1" applyFill="1"/>
    <xf numFmtId="3" fontId="8" fillId="0" borderId="0" xfId="0" applyNumberFormat="1" applyFont="1" applyFill="1"/>
    <xf numFmtId="0" fontId="12" fillId="2" borderId="0" xfId="0" applyFont="1" applyFill="1" applyBorder="1"/>
    <xf numFmtId="0" fontId="12" fillId="11" borderId="0" xfId="0" applyFont="1" applyFill="1" applyBorder="1"/>
    <xf numFmtId="3" fontId="11" fillId="16" borderId="20" xfId="0" applyNumberFormat="1" applyFont="1" applyFill="1" applyBorder="1" applyAlignment="1">
      <alignment horizontal="right" vertical="center"/>
    </xf>
    <xf numFmtId="0" fontId="13" fillId="0" borderId="0" xfId="0" applyFont="1" applyFill="1"/>
    <xf numFmtId="4" fontId="13" fillId="0" borderId="0" xfId="0" applyNumberFormat="1" applyFont="1" applyFill="1"/>
    <xf numFmtId="3" fontId="13" fillId="0" borderId="0" xfId="0" applyNumberFormat="1" applyFont="1" applyFill="1"/>
    <xf numFmtId="4" fontId="7" fillId="0" borderId="0" xfId="0" applyNumberFormat="1" applyFont="1" applyFill="1"/>
    <xf numFmtId="3" fontId="7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0" xfId="0" applyNumberFormat="1" applyFont="1" applyFill="1" applyAlignment="1">
      <alignment horizontal="right"/>
    </xf>
    <xf numFmtId="3" fontId="11" fillId="6" borderId="3" xfId="0" applyNumberFormat="1" applyFont="1" applyFill="1" applyBorder="1" applyAlignment="1">
      <alignment horizontal="right" vertical="center"/>
    </xf>
    <xf numFmtId="3" fontId="11" fillId="13" borderId="4" xfId="0" applyNumberFormat="1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left"/>
    </xf>
    <xf numFmtId="0" fontId="7" fillId="0" borderId="3" xfId="0" applyFont="1" applyFill="1" applyBorder="1" applyAlignment="1"/>
    <xf numFmtId="4" fontId="7" fillId="0" borderId="3" xfId="0" applyNumberFormat="1" applyFont="1" applyFill="1" applyBorder="1" applyAlignment="1">
      <alignment horizontal="right"/>
    </xf>
    <xf numFmtId="0" fontId="9" fillId="0" borderId="3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left"/>
    </xf>
    <xf numFmtId="0" fontId="9" fillId="0" borderId="3" xfId="0" applyFont="1" applyFill="1" applyBorder="1"/>
    <xf numFmtId="0" fontId="9" fillId="0" borderId="3" xfId="0" applyFont="1" applyFill="1" applyBorder="1" applyAlignment="1"/>
    <xf numFmtId="4" fontId="9" fillId="0" borderId="3" xfId="0" applyNumberFormat="1" applyFont="1" applyFill="1" applyBorder="1"/>
    <xf numFmtId="3" fontId="9" fillId="0" borderId="3" xfId="0" applyNumberFormat="1" applyFont="1" applyFill="1" applyBorder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0" applyFont="1" applyFill="1" applyBorder="1"/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/>
    <xf numFmtId="3" fontId="9" fillId="0" borderId="4" xfId="0" applyNumberFormat="1" applyFont="1" applyFill="1" applyBorder="1" applyAlignment="1">
      <alignment horizontal="right"/>
    </xf>
    <xf numFmtId="4" fontId="7" fillId="0" borderId="3" xfId="0" applyNumberFormat="1" applyFont="1" applyFill="1" applyBorder="1" applyAlignment="1">
      <alignment horizontal="center"/>
    </xf>
    <xf numFmtId="164" fontId="7" fillId="0" borderId="3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/>
    </xf>
    <xf numFmtId="4" fontId="7" fillId="0" borderId="3" xfId="0" applyNumberFormat="1" applyFont="1" applyFill="1" applyBorder="1" applyAlignment="1">
      <alignment horizontal="left" wrapText="1"/>
    </xf>
    <xf numFmtId="4" fontId="5" fillId="6" borderId="4" xfId="0" quotePrefix="1" applyNumberFormat="1" applyFont="1" applyFill="1" applyBorder="1" applyAlignment="1">
      <alignment horizontal="right" vertical="center"/>
    </xf>
    <xf numFmtId="3" fontId="7" fillId="11" borderId="4" xfId="0" quotePrefix="1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/>
    <xf numFmtId="0" fontId="14" fillId="0" borderId="0" xfId="0" applyFont="1" applyFill="1" applyAlignment="1">
      <alignment horizontal="left"/>
    </xf>
    <xf numFmtId="0" fontId="14" fillId="0" borderId="0" xfId="0" applyFont="1" applyFill="1" applyAlignment="1"/>
    <xf numFmtId="3" fontId="14" fillId="0" borderId="0" xfId="0" applyNumberFormat="1" applyFont="1" applyFill="1" applyAlignment="1">
      <alignment horizontal="right"/>
    </xf>
    <xf numFmtId="4" fontId="14" fillId="0" borderId="0" xfId="0" applyNumberFormat="1" applyFont="1" applyFill="1" applyAlignment="1">
      <alignment horizontal="right"/>
    </xf>
    <xf numFmtId="14" fontId="14" fillId="0" borderId="0" xfId="0" applyNumberFormat="1" applyFont="1" applyFill="1" applyAlignment="1">
      <alignment horizontal="right"/>
    </xf>
    <xf numFmtId="4" fontId="14" fillId="0" borderId="0" xfId="0" applyNumberFormat="1" applyFont="1" applyFill="1"/>
    <xf numFmtId="166" fontId="14" fillId="0" borderId="0" xfId="0" applyNumberFormat="1" applyFont="1" applyFill="1"/>
    <xf numFmtId="3" fontId="14" fillId="0" borderId="0" xfId="0" applyNumberFormat="1" applyFont="1" applyFill="1"/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/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/>
    <xf numFmtId="3" fontId="8" fillId="3" borderId="1" xfId="0" applyNumberFormat="1" applyFont="1" applyFill="1" applyBorder="1" applyAlignment="1">
      <alignment horizontal="right"/>
    </xf>
    <xf numFmtId="4" fontId="8" fillId="3" borderId="1" xfId="0" applyNumberFormat="1" applyFont="1" applyFill="1" applyBorder="1"/>
    <xf numFmtId="164" fontId="11" fillId="0" borderId="10" xfId="0" applyNumberFormat="1" applyFont="1" applyBorder="1" applyAlignment="1">
      <alignment horizontal="center" vertical="center"/>
    </xf>
    <xf numFmtId="0" fontId="7" fillId="15" borderId="3" xfId="0" applyFont="1" applyFill="1" applyBorder="1" applyAlignment="1">
      <alignment horizontal="center" vertical="center"/>
    </xf>
    <xf numFmtId="0" fontId="7" fillId="15" borderId="3" xfId="0" applyFont="1" applyFill="1" applyBorder="1" applyAlignment="1">
      <alignment horizontal="left" vertical="center"/>
    </xf>
    <xf numFmtId="0" fontId="7" fillId="15" borderId="3" xfId="0" applyFont="1" applyFill="1" applyBorder="1" applyAlignment="1">
      <alignment vertical="center"/>
    </xf>
    <xf numFmtId="3" fontId="7" fillId="15" borderId="3" xfId="0" applyNumberFormat="1" applyFont="1" applyFill="1" applyBorder="1" applyAlignment="1">
      <alignment horizontal="right" vertical="center"/>
    </xf>
    <xf numFmtId="3" fontId="11" fillId="15" borderId="3" xfId="0" applyNumberFormat="1" applyFont="1" applyFill="1" applyBorder="1" applyAlignment="1">
      <alignment horizontal="right" vertical="center"/>
    </xf>
    <xf numFmtId="4" fontId="7" fillId="15" borderId="3" xfId="0" applyNumberFormat="1" applyFont="1" applyFill="1" applyBorder="1" applyAlignment="1">
      <alignment horizontal="right" vertical="center"/>
    </xf>
    <xf numFmtId="14" fontId="7" fillId="15" borderId="3" xfId="0" applyNumberFormat="1" applyFont="1" applyFill="1" applyBorder="1" applyAlignment="1">
      <alignment horizontal="right" vertical="center"/>
    </xf>
    <xf numFmtId="164" fontId="7" fillId="15" borderId="3" xfId="0" applyNumberFormat="1" applyFont="1" applyFill="1" applyBorder="1" applyAlignment="1">
      <alignment horizontal="center" vertical="center"/>
    </xf>
    <xf numFmtId="4" fontId="9" fillId="18" borderId="0" xfId="0" applyNumberFormat="1" applyFont="1" applyFill="1"/>
    <xf numFmtId="4" fontId="8" fillId="18" borderId="0" xfId="0" applyNumberFormat="1" applyFont="1" applyFill="1"/>
    <xf numFmtId="4" fontId="11" fillId="18" borderId="5" xfId="0" applyNumberFormat="1" applyFont="1" applyFill="1" applyBorder="1" applyAlignment="1">
      <alignment horizontal="center" vertical="center" wrapText="1"/>
    </xf>
    <xf numFmtId="4" fontId="11" fillId="18" borderId="14" xfId="0" applyNumberFormat="1" applyFont="1" applyFill="1" applyBorder="1" applyAlignment="1">
      <alignment horizontal="center" vertical="center" wrapText="1"/>
    </xf>
    <xf numFmtId="4" fontId="11" fillId="18" borderId="6" xfId="0" applyNumberFormat="1" applyFont="1" applyFill="1" applyBorder="1" applyAlignment="1">
      <alignment horizontal="center" vertical="center"/>
    </xf>
    <xf numFmtId="4" fontId="11" fillId="18" borderId="3" xfId="0" applyNumberFormat="1" applyFont="1" applyFill="1" applyBorder="1" applyAlignment="1">
      <alignment horizontal="right" vertical="center"/>
    </xf>
    <xf numFmtId="4" fontId="7" fillId="18" borderId="3" xfId="0" applyNumberFormat="1" applyFont="1" applyFill="1" applyBorder="1" applyAlignment="1">
      <alignment horizontal="center" vertical="center"/>
    </xf>
    <xf numFmtId="164" fontId="7" fillId="18" borderId="3" xfId="0" applyNumberFormat="1" applyFont="1" applyFill="1" applyBorder="1" applyAlignment="1">
      <alignment horizontal="center" vertical="center"/>
    </xf>
    <xf numFmtId="165" fontId="7" fillId="18" borderId="3" xfId="0" applyNumberFormat="1" applyFont="1" applyFill="1" applyBorder="1" applyAlignment="1">
      <alignment horizontal="center" vertical="center"/>
    </xf>
    <xf numFmtId="3" fontId="11" fillId="18" borderId="1" xfId="0" applyNumberFormat="1" applyFont="1" applyFill="1" applyBorder="1" applyAlignment="1">
      <alignment horizontal="right" vertical="center"/>
    </xf>
    <xf numFmtId="3" fontId="14" fillId="18" borderId="0" xfId="0" applyNumberFormat="1" applyFont="1" applyFill="1"/>
    <xf numFmtId="4" fontId="7" fillId="18" borderId="3" xfId="0" applyNumberFormat="1" applyFont="1" applyFill="1" applyBorder="1" applyAlignment="1">
      <alignment horizontal="right"/>
    </xf>
    <xf numFmtId="3" fontId="9" fillId="18" borderId="3" xfId="0" applyNumberFormat="1" applyFont="1" applyFill="1" applyBorder="1" applyAlignment="1">
      <alignment horizontal="right"/>
    </xf>
    <xf numFmtId="3" fontId="9" fillId="18" borderId="4" xfId="0" applyNumberFormat="1" applyFont="1" applyFill="1" applyBorder="1" applyAlignment="1">
      <alignment horizontal="right"/>
    </xf>
    <xf numFmtId="3" fontId="8" fillId="18" borderId="1" xfId="0" applyNumberFormat="1" applyFont="1" applyFill="1" applyBorder="1" applyAlignment="1">
      <alignment horizontal="right"/>
    </xf>
    <xf numFmtId="4" fontId="7" fillId="18" borderId="3" xfId="0" applyNumberFormat="1" applyFont="1" applyFill="1" applyBorder="1" applyAlignment="1">
      <alignment horizontal="center" vertical="center" wrapText="1"/>
    </xf>
    <xf numFmtId="4" fontId="7" fillId="18" borderId="3" xfId="0" applyNumberFormat="1" applyFont="1" applyFill="1" applyBorder="1" applyAlignment="1">
      <alignment horizontal="left" vertical="center" wrapText="1"/>
    </xf>
    <xf numFmtId="3" fontId="11" fillId="15" borderId="1" xfId="0" applyNumberFormat="1" applyFont="1" applyFill="1" applyBorder="1" applyAlignment="1">
      <alignment horizontal="right" vertical="center"/>
    </xf>
    <xf numFmtId="3" fontId="7" fillId="0" borderId="0" xfId="0" applyNumberFormat="1" applyFont="1"/>
    <xf numFmtId="0" fontId="8" fillId="0" borderId="0" xfId="0" applyFont="1" applyFill="1" applyAlignment="1">
      <alignment horizontal="center"/>
    </xf>
    <xf numFmtId="0" fontId="8" fillId="0" borderId="0" xfId="0" applyFont="1" applyFill="1" applyAlignment="1"/>
    <xf numFmtId="14" fontId="8" fillId="0" borderId="0" xfId="0" applyNumberFormat="1" applyFont="1" applyFill="1" applyAlignment="1">
      <alignment horizontal="right"/>
    </xf>
    <xf numFmtId="4" fontId="11" fillId="0" borderId="0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3" fontId="11" fillId="5" borderId="14" xfId="0" applyNumberFormat="1" applyFont="1" applyFill="1" applyBorder="1" applyAlignment="1">
      <alignment horizontal="center" vertical="center" wrapText="1"/>
    </xf>
    <xf numFmtId="4" fontId="11" fillId="5" borderId="6" xfId="0" applyNumberFormat="1" applyFont="1" applyFill="1" applyBorder="1" applyAlignment="1">
      <alignment horizontal="center" vertical="center" wrapText="1"/>
    </xf>
    <xf numFmtId="4" fontId="11" fillId="5" borderId="6" xfId="0" applyNumberFormat="1" applyFont="1" applyFill="1" applyBorder="1" applyAlignment="1">
      <alignment horizontal="center" vertical="center"/>
    </xf>
    <xf numFmtId="165" fontId="7" fillId="19" borderId="3" xfId="0" applyNumberFormat="1" applyFont="1" applyFill="1" applyBorder="1" applyAlignment="1">
      <alignment horizontal="center" vertical="center"/>
    </xf>
    <xf numFmtId="4" fontId="7" fillId="19" borderId="3" xfId="0" applyNumberFormat="1" applyFont="1" applyFill="1" applyBorder="1" applyAlignment="1">
      <alignment horizontal="center" vertical="center"/>
    </xf>
    <xf numFmtId="164" fontId="7" fillId="19" borderId="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4" fontId="8" fillId="0" borderId="0" xfId="0" applyNumberFormat="1" applyFont="1" applyFill="1" applyBorder="1"/>
    <xf numFmtId="4" fontId="5" fillId="0" borderId="4" xfId="0" applyNumberFormat="1" applyFont="1" applyFill="1" applyBorder="1" applyAlignment="1">
      <alignment horizontal="right" vertical="center"/>
    </xf>
    <xf numFmtId="3" fontId="5" fillId="0" borderId="4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4" fontId="11" fillId="0" borderId="6" xfId="0" applyNumberFormat="1" applyFont="1" applyFill="1" applyBorder="1" applyAlignment="1">
      <alignment horizontal="center" vertical="center" wrapText="1"/>
    </xf>
    <xf numFmtId="4" fontId="11" fillId="19" borderId="3" xfId="0" applyNumberFormat="1" applyFont="1" applyFill="1" applyBorder="1" applyAlignment="1">
      <alignment horizontal="center" vertical="center"/>
    </xf>
    <xf numFmtId="3" fontId="7" fillId="2" borderId="3" xfId="0" applyNumberFormat="1" applyFont="1" applyFill="1" applyBorder="1" applyAlignment="1">
      <alignment horizontal="center" vertical="center"/>
    </xf>
    <xf numFmtId="4" fontId="7" fillId="6" borderId="4" xfId="0" quotePrefix="1" applyNumberFormat="1" applyFont="1" applyFill="1" applyBorder="1" applyAlignment="1">
      <alignment horizontal="right" vertical="center"/>
    </xf>
    <xf numFmtId="4" fontId="11" fillId="0" borderId="12" xfId="0" applyNumberFormat="1" applyFont="1" applyBorder="1" applyAlignment="1">
      <alignment horizontal="center" vertical="center"/>
    </xf>
    <xf numFmtId="4" fontId="11" fillId="19" borderId="3" xfId="0" applyNumberFormat="1" applyFont="1" applyFill="1" applyBorder="1" applyAlignment="1">
      <alignment horizontal="center" vertical="center"/>
    </xf>
    <xf numFmtId="4" fontId="6" fillId="19" borderId="3" xfId="0" applyNumberFormat="1" applyFont="1" applyFill="1" applyBorder="1" applyAlignment="1">
      <alignment horizontal="center" vertical="center"/>
    </xf>
    <xf numFmtId="3" fontId="7" fillId="20" borderId="3" xfId="0" applyNumberFormat="1" applyFont="1" applyFill="1" applyBorder="1" applyAlignment="1">
      <alignment horizontal="right" vertical="center"/>
    </xf>
    <xf numFmtId="3" fontId="7" fillId="20" borderId="4" xfId="0" applyNumberFormat="1" applyFont="1" applyFill="1" applyBorder="1" applyAlignment="1">
      <alignment horizontal="right" vertical="center"/>
    </xf>
    <xf numFmtId="3" fontId="7" fillId="20" borderId="4" xfId="0" quotePrefix="1" applyNumberFormat="1" applyFont="1" applyFill="1" applyBorder="1" applyAlignment="1">
      <alignment horizontal="right" vertical="center"/>
    </xf>
    <xf numFmtId="3" fontId="12" fillId="20" borderId="3" xfId="0" applyNumberFormat="1" applyFont="1" applyFill="1" applyBorder="1" applyAlignment="1">
      <alignment horizontal="right" vertical="center"/>
    </xf>
    <xf numFmtId="3" fontId="7" fillId="20" borderId="3" xfId="0" quotePrefix="1" applyNumberFormat="1" applyFont="1" applyFill="1" applyBorder="1" applyAlignment="1">
      <alignment horizontal="right" vertical="center"/>
    </xf>
    <xf numFmtId="3" fontId="6" fillId="20" borderId="4" xfId="0" quotePrefix="1" applyNumberFormat="1" applyFont="1" applyFill="1" applyBorder="1" applyAlignment="1">
      <alignment horizontal="right" vertical="center"/>
    </xf>
    <xf numFmtId="4" fontId="6" fillId="20" borderId="4" xfId="0" quotePrefix="1" applyNumberFormat="1" applyFont="1" applyFill="1" applyBorder="1" applyAlignment="1">
      <alignment horizontal="right" vertical="center"/>
    </xf>
    <xf numFmtId="4" fontId="6" fillId="4" borderId="4" xfId="0" applyNumberFormat="1" applyFont="1" applyFill="1" applyBorder="1" applyAlignment="1">
      <alignment horizontal="right" vertical="center"/>
    </xf>
    <xf numFmtId="3" fontId="6" fillId="4" borderId="4" xfId="0" applyNumberFormat="1" applyFont="1" applyFill="1" applyBorder="1" applyAlignment="1">
      <alignment horizontal="right" vertical="center"/>
    </xf>
    <xf numFmtId="3" fontId="6" fillId="4" borderId="4" xfId="0" quotePrefix="1" applyNumberFormat="1" applyFont="1" applyFill="1" applyBorder="1" applyAlignment="1">
      <alignment horizontal="right" vertical="center"/>
    </xf>
    <xf numFmtId="3" fontId="11" fillId="2" borderId="1" xfId="0" applyNumberFormat="1" applyFont="1" applyFill="1" applyBorder="1" applyAlignment="1">
      <alignment horizontal="right" vertical="center"/>
    </xf>
    <xf numFmtId="4" fontId="8" fillId="0" borderId="0" xfId="0" applyNumberFormat="1" applyFont="1" applyFill="1" applyBorder="1" applyAlignment="1">
      <alignment horizontal="right"/>
    </xf>
    <xf numFmtId="4" fontId="6" fillId="6" borderId="3" xfId="0" applyNumberFormat="1" applyFont="1" applyFill="1" applyBorder="1" applyAlignment="1">
      <alignment horizontal="right" vertical="center"/>
    </xf>
    <xf numFmtId="3" fontId="6" fillId="6" borderId="3" xfId="0" applyNumberFormat="1" applyFont="1" applyFill="1" applyBorder="1" applyAlignment="1">
      <alignment horizontal="right" vertical="center"/>
    </xf>
    <xf numFmtId="4" fontId="11" fillId="0" borderId="3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3" fontId="11" fillId="0" borderId="2" xfId="0" applyNumberFormat="1" applyFont="1" applyBorder="1" applyAlignment="1">
      <alignment horizontal="center" vertical="center" wrapText="1"/>
    </xf>
    <xf numFmtId="3" fontId="11" fillId="0" borderId="14" xfId="0" applyNumberFormat="1" applyFont="1" applyBorder="1" applyAlignment="1">
      <alignment horizontal="center" vertical="center" wrapText="1"/>
    </xf>
    <xf numFmtId="3" fontId="11" fillId="0" borderId="4" xfId="0" applyNumberFormat="1" applyFont="1" applyBorder="1" applyAlignment="1">
      <alignment horizontal="center" vertical="center"/>
    </xf>
    <xf numFmtId="3" fontId="11" fillId="0" borderId="15" xfId="0" applyNumberFormat="1" applyFont="1" applyBorder="1" applyAlignment="1">
      <alignment horizontal="center" vertical="center" wrapText="1"/>
    </xf>
    <xf numFmtId="3" fontId="11" fillId="0" borderId="17" xfId="0" applyNumberFormat="1" applyFont="1" applyBorder="1" applyAlignment="1">
      <alignment horizontal="center" vertical="center" wrapText="1"/>
    </xf>
    <xf numFmtId="3" fontId="11" fillId="0" borderId="16" xfId="0" applyNumberFormat="1" applyFont="1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4" fontId="11" fillId="0" borderId="14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/>
    </xf>
    <xf numFmtId="4" fontId="11" fillId="0" borderId="8" xfId="0" applyNumberFormat="1" applyFont="1" applyBorder="1" applyAlignment="1">
      <alignment horizontal="center" vertical="center"/>
    </xf>
    <xf numFmtId="4" fontId="11" fillId="0" borderId="9" xfId="0" applyNumberFormat="1" applyFont="1" applyBorder="1" applyAlignment="1">
      <alignment horizontal="center" vertical="center"/>
    </xf>
    <xf numFmtId="4" fontId="11" fillId="2" borderId="5" xfId="0" applyNumberFormat="1" applyFont="1" applyFill="1" applyBorder="1" applyAlignment="1">
      <alignment horizontal="center" vertical="center" wrapText="1"/>
    </xf>
    <xf numFmtId="4" fontId="11" fillId="2" borderId="14" xfId="0" applyNumberFormat="1" applyFont="1" applyFill="1" applyBorder="1" applyAlignment="1">
      <alignment horizontal="center" vertical="center"/>
    </xf>
    <xf numFmtId="4" fontId="11" fillId="2" borderId="6" xfId="0" applyNumberFormat="1" applyFont="1" applyFill="1" applyBorder="1" applyAlignment="1">
      <alignment horizontal="center" vertical="center"/>
    </xf>
    <xf numFmtId="4" fontId="11" fillId="15" borderId="2" xfId="0" applyNumberFormat="1" applyFont="1" applyFill="1" applyBorder="1" applyAlignment="1">
      <alignment horizontal="center" vertical="center" wrapText="1"/>
    </xf>
    <xf numFmtId="4" fontId="11" fillId="15" borderId="6" xfId="0" applyNumberFormat="1" applyFont="1" applyFill="1" applyBorder="1" applyAlignment="1">
      <alignment horizontal="center" vertical="center" wrapText="1"/>
    </xf>
    <xf numFmtId="4" fontId="11" fillId="15" borderId="3" xfId="0" applyNumberFormat="1" applyFont="1" applyFill="1" applyBorder="1" applyAlignment="1">
      <alignment horizontal="center" vertical="center"/>
    </xf>
    <xf numFmtId="4" fontId="11" fillId="18" borderId="5" xfId="0" applyNumberFormat="1" applyFont="1" applyFill="1" applyBorder="1" applyAlignment="1">
      <alignment horizontal="center" vertical="center" wrapText="1"/>
    </xf>
    <xf numFmtId="4" fontId="11" fillId="18" borderId="14" xfId="0" applyNumberFormat="1" applyFont="1" applyFill="1" applyBorder="1" applyAlignment="1">
      <alignment horizontal="center" vertical="center"/>
    </xf>
    <xf numFmtId="4" fontId="11" fillId="18" borderId="6" xfId="0" applyNumberFormat="1" applyFont="1" applyFill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 wrapText="1"/>
    </xf>
    <xf numFmtId="3" fontId="11" fillId="0" borderId="20" xfId="0" applyNumberFormat="1" applyFont="1" applyBorder="1" applyAlignment="1">
      <alignment horizontal="center" vertical="center" wrapText="1"/>
    </xf>
    <xf numFmtId="3" fontId="11" fillId="7" borderId="18" xfId="0" applyNumberFormat="1" applyFont="1" applyFill="1" applyBorder="1" applyAlignment="1">
      <alignment horizontal="center" vertical="center" wrapText="1"/>
    </xf>
    <xf numFmtId="3" fontId="11" fillId="7" borderId="19" xfId="0" applyNumberFormat="1" applyFont="1" applyFill="1" applyBorder="1" applyAlignment="1">
      <alignment horizontal="center" vertical="center" wrapText="1"/>
    </xf>
    <xf numFmtId="3" fontId="11" fillId="12" borderId="18" xfId="0" applyNumberFormat="1" applyFont="1" applyFill="1" applyBorder="1" applyAlignment="1">
      <alignment horizontal="center" vertical="center" wrapText="1"/>
    </xf>
    <xf numFmtId="3" fontId="11" fillId="12" borderId="19" xfId="0" applyNumberFormat="1" applyFont="1" applyFill="1" applyBorder="1" applyAlignment="1">
      <alignment horizontal="center" vertical="center" wrapText="1"/>
    </xf>
    <xf numFmtId="3" fontId="11" fillId="13" borderId="18" xfId="0" applyNumberFormat="1" applyFont="1" applyFill="1" applyBorder="1" applyAlignment="1">
      <alignment horizontal="center" vertical="center" wrapText="1"/>
    </xf>
    <xf numFmtId="3" fontId="11" fillId="13" borderId="19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3" fontId="11" fillId="14" borderId="18" xfId="0" applyNumberFormat="1" applyFont="1" applyFill="1" applyBorder="1" applyAlignment="1">
      <alignment horizontal="center" vertical="center" wrapText="1"/>
    </xf>
    <xf numFmtId="3" fontId="11" fillId="14" borderId="19" xfId="0" applyNumberFormat="1" applyFont="1" applyFill="1" applyBorder="1" applyAlignment="1">
      <alignment horizontal="center" vertical="center" wrapText="1"/>
    </xf>
    <xf numFmtId="3" fontId="11" fillId="13" borderId="5" xfId="0" applyNumberFormat="1" applyFont="1" applyFill="1" applyBorder="1" applyAlignment="1">
      <alignment horizontal="center" vertical="center" wrapText="1"/>
    </xf>
    <xf numFmtId="3" fontId="11" fillId="13" borderId="14" xfId="0" applyNumberFormat="1" applyFont="1" applyFill="1" applyBorder="1" applyAlignment="1">
      <alignment horizontal="center" vertical="center" wrapText="1"/>
    </xf>
    <xf numFmtId="4" fontId="11" fillId="0" borderId="11" xfId="0" applyNumberFormat="1" applyFont="1" applyBorder="1" applyAlignment="1">
      <alignment horizontal="center" vertical="center" wrapText="1"/>
    </xf>
    <xf numFmtId="4" fontId="11" fillId="0" borderId="12" xfId="0" applyNumberFormat="1" applyFont="1" applyBorder="1" applyAlignment="1">
      <alignment horizontal="center" vertical="center" wrapText="1"/>
    </xf>
    <xf numFmtId="4" fontId="11" fillId="0" borderId="13" xfId="0" applyNumberFormat="1" applyFont="1" applyBorder="1" applyAlignment="1">
      <alignment horizontal="center" vertical="center" wrapText="1"/>
    </xf>
    <xf numFmtId="4" fontId="11" fillId="0" borderId="11" xfId="0" applyNumberFormat="1" applyFont="1" applyBorder="1" applyAlignment="1">
      <alignment horizontal="center" vertical="center"/>
    </xf>
    <xf numFmtId="4" fontId="11" fillId="0" borderId="12" xfId="0" applyNumberFormat="1" applyFont="1" applyBorder="1" applyAlignment="1">
      <alignment horizontal="center" vertical="center"/>
    </xf>
    <xf numFmtId="4" fontId="11" fillId="0" borderId="13" xfId="0" applyNumberFormat="1" applyFont="1" applyBorder="1" applyAlignment="1">
      <alignment horizontal="center" vertical="center"/>
    </xf>
    <xf numFmtId="4" fontId="11" fillId="16" borderId="5" xfId="0" applyNumberFormat="1" applyFont="1" applyFill="1" applyBorder="1" applyAlignment="1">
      <alignment horizontal="center" vertical="center" wrapText="1"/>
    </xf>
    <xf numFmtId="4" fontId="11" fillId="16" borderId="14" xfId="0" applyNumberFormat="1" applyFont="1" applyFill="1" applyBorder="1" applyAlignment="1">
      <alignment horizontal="center" vertical="center" wrapText="1"/>
    </xf>
    <xf numFmtId="4" fontId="11" fillId="16" borderId="6" xfId="0" applyNumberFormat="1" applyFont="1" applyFill="1" applyBorder="1" applyAlignment="1">
      <alignment horizontal="center" vertical="center" wrapText="1"/>
    </xf>
    <xf numFmtId="4" fontId="11" fillId="0" borderId="5" xfId="0" applyNumberFormat="1" applyFont="1" applyFill="1" applyBorder="1" applyAlignment="1">
      <alignment horizontal="center" vertical="center" wrapText="1"/>
    </xf>
    <xf numFmtId="4" fontId="11" fillId="0" borderId="14" xfId="0" applyNumberFormat="1" applyFont="1" applyFill="1" applyBorder="1" applyAlignment="1">
      <alignment horizontal="center" vertical="center" wrapText="1"/>
    </xf>
    <xf numFmtId="4" fontId="11" fillId="0" borderId="6" xfId="0" applyNumberFormat="1" applyFont="1" applyFill="1" applyBorder="1" applyAlignment="1">
      <alignment horizontal="center" vertical="center" wrapText="1"/>
    </xf>
    <xf numFmtId="3" fontId="11" fillId="0" borderId="2" xfId="0" applyNumberFormat="1" applyFont="1" applyFill="1" applyBorder="1" applyAlignment="1">
      <alignment horizontal="center" vertical="center" wrapText="1"/>
    </xf>
    <xf numFmtId="3" fontId="11" fillId="0" borderId="6" xfId="0" applyNumberFormat="1" applyFont="1" applyFill="1" applyBorder="1" applyAlignment="1">
      <alignment horizontal="center" vertical="center" wrapText="1"/>
    </xf>
    <xf numFmtId="3" fontId="11" fillId="0" borderId="3" xfId="0" applyNumberFormat="1" applyFont="1" applyFill="1" applyBorder="1" applyAlignment="1">
      <alignment horizontal="center" vertical="center"/>
    </xf>
    <xf numFmtId="0" fontId="11" fillId="8" borderId="11" xfId="0" applyFont="1" applyFill="1" applyBorder="1" applyAlignment="1">
      <alignment horizontal="left" vertical="center"/>
    </xf>
    <xf numFmtId="0" fontId="11" fillId="8" borderId="12" xfId="0" applyFont="1" applyFill="1" applyBorder="1" applyAlignment="1">
      <alignment horizontal="left" vertical="center"/>
    </xf>
    <xf numFmtId="0" fontId="11" fillId="8" borderId="13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4" fontId="11" fillId="19" borderId="2" xfId="0" applyNumberFormat="1" applyFont="1" applyFill="1" applyBorder="1" applyAlignment="1">
      <alignment horizontal="center" vertical="center" wrapText="1"/>
    </xf>
    <xf numFmtId="4" fontId="11" fillId="19" borderId="6" xfId="0" applyNumberFormat="1" applyFont="1" applyFill="1" applyBorder="1" applyAlignment="1">
      <alignment horizontal="center" vertical="center" wrapText="1"/>
    </xf>
    <xf numFmtId="4" fontId="11" fillId="19" borderId="3" xfId="0" applyNumberFormat="1" applyFont="1" applyFill="1" applyBorder="1" applyAlignment="1">
      <alignment horizontal="center" vertical="center"/>
    </xf>
    <xf numFmtId="3" fontId="11" fillId="2" borderId="5" xfId="0" applyNumberFormat="1" applyFont="1" applyFill="1" applyBorder="1" applyAlignment="1">
      <alignment horizontal="center" vertical="center" wrapText="1"/>
    </xf>
    <xf numFmtId="3" fontId="11" fillId="2" borderId="20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4" fontId="11" fillId="16" borderId="2" xfId="0" applyNumberFormat="1" applyFont="1" applyFill="1" applyBorder="1" applyAlignment="1">
      <alignment horizontal="center" vertical="center" wrapText="1"/>
    </xf>
    <xf numFmtId="4" fontId="11" fillId="16" borderId="3" xfId="0" applyNumberFormat="1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left"/>
    </xf>
    <xf numFmtId="0" fontId="13" fillId="0" borderId="21" xfId="0" applyFont="1" applyFill="1" applyBorder="1" applyAlignment="1">
      <alignment horizontal="left"/>
    </xf>
    <xf numFmtId="0" fontId="13" fillId="0" borderId="19" xfId="0" applyFont="1" applyFill="1" applyBorder="1" applyAlignment="1">
      <alignment horizontal="left"/>
    </xf>
    <xf numFmtId="4" fontId="6" fillId="6" borderId="3" xfId="0" quotePrefix="1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66FF"/>
      <color rgb="FFCC99FF"/>
      <color rgb="FFC39BE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80</xdr:col>
      <xdr:colOff>50800</xdr:colOff>
      <xdr:row>11</xdr:row>
      <xdr:rowOff>25400</xdr:rowOff>
    </xdr:from>
    <xdr:to>
      <xdr:col>80</xdr:col>
      <xdr:colOff>96519</xdr:colOff>
      <xdr:row>13</xdr:row>
      <xdr:rowOff>190500</xdr:rowOff>
    </xdr:to>
    <xdr:sp macro="" textlink="">
      <xdr:nvSpPr>
        <xdr:cNvPr id="2" name="Right Brace 1"/>
        <xdr:cNvSpPr/>
      </xdr:nvSpPr>
      <xdr:spPr>
        <a:xfrm>
          <a:off x="35166300" y="3892550"/>
          <a:ext cx="0" cy="9556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80</xdr:col>
      <xdr:colOff>50800</xdr:colOff>
      <xdr:row>14</xdr:row>
      <xdr:rowOff>25400</xdr:rowOff>
    </xdr:from>
    <xdr:to>
      <xdr:col>80</xdr:col>
      <xdr:colOff>96519</xdr:colOff>
      <xdr:row>16</xdr:row>
      <xdr:rowOff>190500</xdr:rowOff>
    </xdr:to>
    <xdr:sp macro="" textlink="">
      <xdr:nvSpPr>
        <xdr:cNvPr id="3" name="Right Brace 2"/>
        <xdr:cNvSpPr/>
      </xdr:nvSpPr>
      <xdr:spPr>
        <a:xfrm>
          <a:off x="35166300" y="5092700"/>
          <a:ext cx="0" cy="803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80</xdr:col>
      <xdr:colOff>63500</xdr:colOff>
      <xdr:row>17</xdr:row>
      <xdr:rowOff>12700</xdr:rowOff>
    </xdr:from>
    <xdr:to>
      <xdr:col>80</xdr:col>
      <xdr:colOff>109219</xdr:colOff>
      <xdr:row>21</xdr:row>
      <xdr:rowOff>457200</xdr:rowOff>
    </xdr:to>
    <xdr:sp macro="" textlink="">
      <xdr:nvSpPr>
        <xdr:cNvPr id="4" name="Right Brace 3"/>
        <xdr:cNvSpPr/>
      </xdr:nvSpPr>
      <xdr:spPr>
        <a:xfrm>
          <a:off x="35166300" y="5927725"/>
          <a:ext cx="0" cy="17970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CT20"/>
  <sheetViews>
    <sheetView tabSelected="1" zoomScale="80" zoomScaleNormal="80" workbookViewId="0">
      <pane xSplit="10350" ySplit="2310" topLeftCell="AS1" activePane="bottomRight"/>
      <selection activeCell="C1" sqref="C1:C1048576"/>
      <selection pane="topRight" activeCell="BW4" sqref="BW4:BW6"/>
      <selection pane="bottomLeft" activeCell="A16" sqref="A16:XFD16"/>
      <selection pane="bottomRight" activeCell="BV19" sqref="BV19"/>
    </sheetView>
  </sheetViews>
  <sheetFormatPr defaultRowHeight="20.100000000000001" customHeight="1" x14ac:dyDescent="0.2"/>
  <cols>
    <col min="1" max="1" width="4.85546875" style="171" customWidth="1"/>
    <col min="2" max="2" width="11.5703125" style="171" customWidth="1"/>
    <col min="3" max="3" width="7.85546875" style="164" hidden="1" customWidth="1"/>
    <col min="4" max="4" width="34.85546875" style="163" customWidth="1"/>
    <col min="5" max="5" width="21.28515625" style="163" hidden="1" customWidth="1"/>
    <col min="6" max="6" width="18.42578125" style="163" hidden="1" customWidth="1"/>
    <col min="7" max="7" width="10.28515625" style="164" customWidth="1"/>
    <col min="8" max="8" width="14.28515625" style="164" hidden="1" customWidth="1"/>
    <col min="9" max="9" width="43" style="165" customWidth="1"/>
    <col min="10" max="10" width="12.42578125" style="166" customWidth="1"/>
    <col min="11" max="11" width="11.5703125" style="166" customWidth="1"/>
    <col min="12" max="12" width="11.7109375" style="166" customWidth="1"/>
    <col min="13" max="13" width="11" style="166" customWidth="1"/>
    <col min="14" max="14" width="11.5703125" style="166" customWidth="1"/>
    <col min="15" max="15" width="9.28515625" style="166" hidden="1" customWidth="1"/>
    <col min="16" max="16" width="12.85546875" style="166" hidden="1" customWidth="1"/>
    <col min="17" max="19" width="9.28515625" style="166" hidden="1" customWidth="1"/>
    <col min="20" max="20" width="12.7109375" style="166" hidden="1" customWidth="1"/>
    <col min="21" max="21" width="11.5703125" style="182" customWidth="1"/>
    <col min="22" max="22" width="13.140625" style="166" customWidth="1"/>
    <col min="23" max="23" width="8.28515625" style="167" customWidth="1"/>
    <col min="24" max="24" width="11.42578125" style="167" customWidth="1"/>
    <col min="25" max="25" width="13.28515625" style="166" hidden="1" customWidth="1"/>
    <col min="26" max="26" width="13" style="168" hidden="1" customWidth="1"/>
    <col min="27" max="27" width="10.85546875" style="167" hidden="1" customWidth="1"/>
    <col min="28" max="28" width="9.7109375" style="167" customWidth="1"/>
    <col min="29" max="29" width="20.140625" style="166" hidden="1" customWidth="1"/>
    <col min="30" max="30" width="13.140625" style="166" hidden="1" customWidth="1"/>
    <col min="31" max="31" width="11.5703125" style="167" customWidth="1"/>
    <col min="32" max="32" width="13.28515625" style="166" hidden="1" customWidth="1"/>
    <col min="33" max="33" width="11.42578125" style="166" hidden="1" customWidth="1"/>
    <col min="34" max="34" width="11.42578125" style="167" hidden="1" customWidth="1"/>
    <col min="35" max="35" width="11.42578125" style="167" customWidth="1"/>
    <col min="36" max="36" width="18" style="166" hidden="1" customWidth="1"/>
    <col min="37" max="37" width="15.28515625" style="166" hidden="1" customWidth="1"/>
    <col min="38" max="38" width="11.5703125" style="167" customWidth="1"/>
    <col min="39" max="39" width="15.140625" style="166" hidden="1" customWidth="1"/>
    <col min="40" max="40" width="12.85546875" style="166" hidden="1" customWidth="1"/>
    <col min="41" max="41" width="11.42578125" style="167" hidden="1" customWidth="1"/>
    <col min="42" max="42" width="9.5703125" style="167" customWidth="1"/>
    <col min="43" max="43" width="15.28515625" style="166" hidden="1" customWidth="1"/>
    <col min="44" max="44" width="14.85546875" style="166" hidden="1" customWidth="1"/>
    <col min="45" max="45" width="10.42578125" style="167" customWidth="1"/>
    <col min="46" max="46" width="14.42578125" style="166" hidden="1" customWidth="1"/>
    <col min="47" max="47" width="11.42578125" style="166" hidden="1" customWidth="1"/>
    <col min="48" max="48" width="11.42578125" style="167" hidden="1" customWidth="1"/>
    <col min="49" max="49" width="10.140625" style="167" customWidth="1"/>
    <col min="50" max="50" width="15.28515625" style="166" hidden="1" customWidth="1"/>
    <col min="51" max="51" width="16" style="166" hidden="1" customWidth="1"/>
    <col min="52" max="52" width="10.42578125" style="167" customWidth="1"/>
    <col min="53" max="53" width="14.140625" style="166" hidden="1" customWidth="1"/>
    <col min="54" max="54" width="11.42578125" style="166" hidden="1" customWidth="1"/>
    <col min="55" max="55" width="11.42578125" style="167" hidden="1" customWidth="1"/>
    <col min="56" max="56" width="9.85546875" style="167" customWidth="1"/>
    <col min="57" max="57" width="16" style="166" hidden="1" customWidth="1"/>
    <col min="58" max="58" width="15.85546875" style="166" hidden="1" customWidth="1"/>
    <col min="59" max="59" width="10.85546875" style="166" customWidth="1"/>
    <col min="60" max="62" width="15.85546875" style="166" hidden="1" customWidth="1"/>
    <col min="63" max="63" width="10.85546875" style="166" customWidth="1"/>
    <col min="64" max="65" width="15.85546875" style="166" hidden="1" customWidth="1"/>
    <col min="66" max="66" width="9.5703125" style="167" customWidth="1"/>
    <col min="67" max="67" width="13.7109375" style="166" hidden="1" customWidth="1"/>
    <col min="68" max="68" width="11.42578125" style="167" hidden="1" customWidth="1"/>
    <col min="69" max="69" width="9.140625" style="167" hidden="1" customWidth="1"/>
    <col min="70" max="70" width="9.5703125" style="167" customWidth="1"/>
    <col min="71" max="71" width="13.140625" style="166" hidden="1" customWidth="1"/>
    <col min="72" max="72" width="15.85546875" style="167" hidden="1" customWidth="1"/>
    <col min="73" max="73" width="12.42578125" style="167" customWidth="1"/>
    <col min="74" max="75" width="12.140625" style="169" customWidth="1"/>
    <col min="76" max="76" width="30.85546875" style="169" customWidth="1"/>
    <col min="77" max="78" width="15.42578125" style="169" hidden="1" customWidth="1"/>
    <col min="79" max="79" width="15.42578125" style="170" hidden="1" customWidth="1"/>
    <col min="80" max="80" width="29.5703125" style="164" hidden="1" customWidth="1"/>
    <col min="81" max="81" width="15.42578125" style="164" hidden="1" customWidth="1"/>
    <col min="82" max="82" width="15.42578125" style="164" customWidth="1"/>
    <col min="83" max="85" width="9.140625" style="164" customWidth="1"/>
    <col min="86" max="16384" width="9.140625" style="164"/>
  </cols>
  <sheetData>
    <row r="1" spans="1:98" ht="20.100000000000001" customHeight="1" x14ac:dyDescent="0.2">
      <c r="A1" s="161" t="s">
        <v>40</v>
      </c>
      <c r="B1" s="161"/>
      <c r="C1" s="162"/>
      <c r="D1" s="161"/>
    </row>
    <row r="2" spans="1:98" ht="20.100000000000001" customHeight="1" x14ac:dyDescent="0.3">
      <c r="A2" s="296" t="s">
        <v>50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</row>
    <row r="3" spans="1:98" ht="20.100000000000001" customHeight="1" x14ac:dyDescent="0.2"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83">
        <f>U8-J8</f>
        <v>0</v>
      </c>
      <c r="V3" s="167"/>
      <c r="Y3" s="167"/>
      <c r="BA3" s="166" t="e">
        <f>#REF!/#REF!</f>
        <v>#REF!</v>
      </c>
      <c r="BV3" s="172"/>
      <c r="BW3" s="172"/>
      <c r="BX3" s="172" t="s">
        <v>406</v>
      </c>
      <c r="BY3" s="172"/>
      <c r="BZ3" s="172" t="e">
        <f>#REF!-#REF!</f>
        <v>#REF!</v>
      </c>
      <c r="CA3" s="173"/>
      <c r="CB3" s="162"/>
      <c r="CC3" s="164" t="s">
        <v>262</v>
      </c>
    </row>
    <row r="4" spans="1:98" s="13" customFormat="1" ht="20.100000000000001" customHeight="1" x14ac:dyDescent="0.2">
      <c r="A4" s="297" t="s">
        <v>0</v>
      </c>
      <c r="B4" s="300"/>
      <c r="C4" s="302" t="s">
        <v>20</v>
      </c>
      <c r="D4" s="297" t="s">
        <v>21</v>
      </c>
      <c r="E4" s="297" t="s">
        <v>22</v>
      </c>
      <c r="F4" s="297" t="s">
        <v>23</v>
      </c>
      <c r="G4" s="302" t="s">
        <v>49</v>
      </c>
      <c r="H4" s="304" t="s">
        <v>42</v>
      </c>
      <c r="I4" s="297" t="s">
        <v>25</v>
      </c>
      <c r="J4" s="309" t="s">
        <v>235</v>
      </c>
      <c r="K4" s="310"/>
      <c r="L4" s="310"/>
      <c r="M4" s="310"/>
      <c r="N4" s="310"/>
      <c r="O4" s="310"/>
      <c r="P4" s="310"/>
      <c r="Q4" s="310"/>
      <c r="R4" s="310"/>
      <c r="S4" s="310"/>
      <c r="T4" s="310"/>
      <c r="U4" s="310"/>
      <c r="V4" s="311"/>
      <c r="W4" s="312" t="s">
        <v>92</v>
      </c>
      <c r="X4" s="315" t="s">
        <v>24</v>
      </c>
      <c r="Y4" s="316"/>
      <c r="Z4" s="316"/>
      <c r="AA4" s="316"/>
      <c r="AB4" s="316"/>
      <c r="AC4" s="316"/>
      <c r="AD4" s="316"/>
      <c r="AE4" s="316"/>
      <c r="AF4" s="316"/>
      <c r="AG4" s="316"/>
      <c r="AH4" s="316"/>
      <c r="AI4" s="316"/>
      <c r="AJ4" s="316"/>
      <c r="AK4" s="316"/>
      <c r="AL4" s="316"/>
      <c r="AM4" s="316"/>
      <c r="AN4" s="316"/>
      <c r="AO4" s="316"/>
      <c r="AP4" s="316"/>
      <c r="AQ4" s="316"/>
      <c r="AR4" s="316"/>
      <c r="AS4" s="316"/>
      <c r="AT4" s="316"/>
      <c r="AU4" s="316"/>
      <c r="AV4" s="316"/>
      <c r="AW4" s="316"/>
      <c r="AX4" s="316"/>
      <c r="AY4" s="316"/>
      <c r="AZ4" s="316"/>
      <c r="BA4" s="316"/>
      <c r="BB4" s="316"/>
      <c r="BC4" s="316"/>
      <c r="BD4" s="316"/>
      <c r="BE4" s="316"/>
      <c r="BF4" s="316"/>
      <c r="BG4" s="316"/>
      <c r="BH4" s="316"/>
      <c r="BI4" s="316"/>
      <c r="BJ4" s="316"/>
      <c r="BK4" s="316"/>
      <c r="BL4" s="316"/>
      <c r="BM4" s="316"/>
      <c r="BN4" s="316"/>
      <c r="BO4" s="316"/>
      <c r="BP4" s="316"/>
      <c r="BQ4" s="316"/>
      <c r="BR4" s="316"/>
      <c r="BS4" s="316"/>
      <c r="BT4" s="317"/>
      <c r="BU4" s="318" t="s">
        <v>354</v>
      </c>
      <c r="BV4" s="321" t="s">
        <v>328</v>
      </c>
      <c r="BW4" s="324" t="s">
        <v>361</v>
      </c>
      <c r="BX4" s="347" t="s">
        <v>299</v>
      </c>
      <c r="BY4" s="347" t="s">
        <v>319</v>
      </c>
      <c r="BZ4" s="350" t="s">
        <v>91</v>
      </c>
      <c r="CA4" s="353" t="s">
        <v>90</v>
      </c>
      <c r="CB4" s="297" t="s">
        <v>51</v>
      </c>
      <c r="CC4" s="306" t="s">
        <v>266</v>
      </c>
    </row>
    <row r="5" spans="1:98" s="13" customFormat="1" ht="20.100000000000001" customHeight="1" x14ac:dyDescent="0.2">
      <c r="A5" s="298"/>
      <c r="B5" s="301"/>
      <c r="C5" s="303"/>
      <c r="D5" s="298"/>
      <c r="E5" s="298"/>
      <c r="F5" s="298"/>
      <c r="G5" s="303"/>
      <c r="H5" s="305"/>
      <c r="I5" s="298"/>
      <c r="J5" s="327" t="s">
        <v>236</v>
      </c>
      <c r="K5" s="329" t="s">
        <v>242</v>
      </c>
      <c r="L5" s="330"/>
      <c r="M5" s="331" t="s">
        <v>237</v>
      </c>
      <c r="N5" s="332"/>
      <c r="O5" s="333" t="s">
        <v>238</v>
      </c>
      <c r="P5" s="334"/>
      <c r="Q5" s="337" t="s">
        <v>244</v>
      </c>
      <c r="R5" s="338"/>
      <c r="S5" s="333" t="s">
        <v>245</v>
      </c>
      <c r="T5" s="334"/>
      <c r="U5" s="339" t="s">
        <v>333</v>
      </c>
      <c r="V5" s="327" t="s">
        <v>68</v>
      </c>
      <c r="W5" s="313"/>
      <c r="X5" s="341" t="s">
        <v>353</v>
      </c>
      <c r="Y5" s="342"/>
      <c r="Z5" s="342"/>
      <c r="AA5" s="342"/>
      <c r="AB5" s="342"/>
      <c r="AC5" s="342"/>
      <c r="AD5" s="343"/>
      <c r="AE5" s="344" t="s">
        <v>185</v>
      </c>
      <c r="AF5" s="345"/>
      <c r="AG5" s="345"/>
      <c r="AH5" s="345"/>
      <c r="AI5" s="345"/>
      <c r="AJ5" s="345"/>
      <c r="AK5" s="346"/>
      <c r="AL5" s="344" t="s">
        <v>184</v>
      </c>
      <c r="AM5" s="345"/>
      <c r="AN5" s="345"/>
      <c r="AO5" s="345"/>
      <c r="AP5" s="345"/>
      <c r="AQ5" s="345"/>
      <c r="AR5" s="346"/>
      <c r="AS5" s="344" t="s">
        <v>233</v>
      </c>
      <c r="AT5" s="345"/>
      <c r="AU5" s="345"/>
      <c r="AV5" s="345"/>
      <c r="AW5" s="345"/>
      <c r="AX5" s="345"/>
      <c r="AY5" s="346"/>
      <c r="AZ5" s="344" t="s">
        <v>234</v>
      </c>
      <c r="BA5" s="345"/>
      <c r="BB5" s="345"/>
      <c r="BC5" s="345"/>
      <c r="BD5" s="345"/>
      <c r="BE5" s="345"/>
      <c r="BF5" s="346"/>
      <c r="BG5" s="344" t="s">
        <v>392</v>
      </c>
      <c r="BH5" s="345"/>
      <c r="BI5" s="345"/>
      <c r="BJ5" s="345"/>
      <c r="BK5" s="345"/>
      <c r="BL5" s="345"/>
      <c r="BM5" s="346"/>
      <c r="BN5" s="344" t="s">
        <v>351</v>
      </c>
      <c r="BO5" s="345"/>
      <c r="BP5" s="345"/>
      <c r="BQ5" s="345"/>
      <c r="BR5" s="345"/>
      <c r="BS5" s="345"/>
      <c r="BT5" s="346"/>
      <c r="BU5" s="319"/>
      <c r="BV5" s="322"/>
      <c r="BW5" s="325"/>
      <c r="BX5" s="348"/>
      <c r="BY5" s="348"/>
      <c r="BZ5" s="351"/>
      <c r="CA5" s="354"/>
      <c r="CB5" s="298"/>
      <c r="CC5" s="307"/>
    </row>
    <row r="6" spans="1:98" s="13" customFormat="1" ht="44.25" customHeight="1" x14ac:dyDescent="0.2">
      <c r="A6" s="299"/>
      <c r="B6" s="298"/>
      <c r="C6" s="299"/>
      <c r="D6" s="299"/>
      <c r="E6" s="299"/>
      <c r="F6" s="299"/>
      <c r="G6" s="299"/>
      <c r="H6" s="298"/>
      <c r="I6" s="299"/>
      <c r="J6" s="328"/>
      <c r="K6" s="90" t="s">
        <v>239</v>
      </c>
      <c r="L6" s="90" t="s">
        <v>240</v>
      </c>
      <c r="M6" s="93" t="s">
        <v>239</v>
      </c>
      <c r="N6" s="93" t="s">
        <v>240</v>
      </c>
      <c r="O6" s="97" t="s">
        <v>239</v>
      </c>
      <c r="P6" s="97" t="s">
        <v>240</v>
      </c>
      <c r="Q6" s="102" t="s">
        <v>239</v>
      </c>
      <c r="R6" s="102" t="s">
        <v>240</v>
      </c>
      <c r="S6" s="97" t="s">
        <v>239</v>
      </c>
      <c r="T6" s="97" t="s">
        <v>240</v>
      </c>
      <c r="U6" s="340"/>
      <c r="V6" s="328"/>
      <c r="W6" s="314"/>
      <c r="X6" s="23" t="s">
        <v>73</v>
      </c>
      <c r="Y6" s="24" t="s">
        <v>67</v>
      </c>
      <c r="Z6" s="52" t="s">
        <v>147</v>
      </c>
      <c r="AA6" s="23" t="s">
        <v>92</v>
      </c>
      <c r="AB6" s="23" t="s">
        <v>72</v>
      </c>
      <c r="AC6" s="24" t="s">
        <v>69</v>
      </c>
      <c r="AD6" s="24" t="s">
        <v>148</v>
      </c>
      <c r="AE6" s="25" t="s">
        <v>70</v>
      </c>
      <c r="AF6" s="26" t="s">
        <v>71</v>
      </c>
      <c r="AG6" s="26" t="s">
        <v>147</v>
      </c>
      <c r="AH6" s="25" t="s">
        <v>92</v>
      </c>
      <c r="AI6" s="25" t="s">
        <v>72</v>
      </c>
      <c r="AJ6" s="26" t="s">
        <v>69</v>
      </c>
      <c r="AK6" s="26" t="s">
        <v>148</v>
      </c>
      <c r="AL6" s="25" t="s">
        <v>70</v>
      </c>
      <c r="AM6" s="26" t="s">
        <v>71</v>
      </c>
      <c r="AN6" s="26" t="s">
        <v>147</v>
      </c>
      <c r="AO6" s="25" t="s">
        <v>92</v>
      </c>
      <c r="AP6" s="25" t="s">
        <v>72</v>
      </c>
      <c r="AQ6" s="26" t="s">
        <v>69</v>
      </c>
      <c r="AR6" s="26" t="s">
        <v>148</v>
      </c>
      <c r="AS6" s="25" t="s">
        <v>70</v>
      </c>
      <c r="AT6" s="26" t="s">
        <v>71</v>
      </c>
      <c r="AU6" s="26" t="s">
        <v>147</v>
      </c>
      <c r="AV6" s="25" t="s">
        <v>92</v>
      </c>
      <c r="AW6" s="25" t="s">
        <v>72</v>
      </c>
      <c r="AX6" s="26" t="s">
        <v>69</v>
      </c>
      <c r="AY6" s="26" t="s">
        <v>148</v>
      </c>
      <c r="AZ6" s="25" t="s">
        <v>70</v>
      </c>
      <c r="BA6" s="26" t="s">
        <v>71</v>
      </c>
      <c r="BB6" s="26" t="s">
        <v>147</v>
      </c>
      <c r="BC6" s="25" t="s">
        <v>92</v>
      </c>
      <c r="BD6" s="25" t="s">
        <v>72</v>
      </c>
      <c r="BE6" s="26" t="s">
        <v>69</v>
      </c>
      <c r="BF6" s="26" t="s">
        <v>148</v>
      </c>
      <c r="BG6" s="25" t="s">
        <v>70</v>
      </c>
      <c r="BH6" s="26" t="s">
        <v>71</v>
      </c>
      <c r="BI6" s="25" t="s">
        <v>147</v>
      </c>
      <c r="BJ6" s="25" t="s">
        <v>92</v>
      </c>
      <c r="BK6" s="25" t="s">
        <v>72</v>
      </c>
      <c r="BL6" s="26" t="s">
        <v>69</v>
      </c>
      <c r="BM6" s="25" t="s">
        <v>148</v>
      </c>
      <c r="BN6" s="25" t="s">
        <v>70</v>
      </c>
      <c r="BO6" s="26" t="s">
        <v>71</v>
      </c>
      <c r="BP6" s="25" t="s">
        <v>147</v>
      </c>
      <c r="BQ6" s="25" t="s">
        <v>92</v>
      </c>
      <c r="BR6" s="25" t="s">
        <v>72</v>
      </c>
      <c r="BS6" s="26" t="s">
        <v>69</v>
      </c>
      <c r="BT6" s="25" t="s">
        <v>148</v>
      </c>
      <c r="BU6" s="320"/>
      <c r="BV6" s="323"/>
      <c r="BW6" s="326"/>
      <c r="BX6" s="349"/>
      <c r="BY6" s="349"/>
      <c r="BZ6" s="352"/>
      <c r="CA6" s="355"/>
      <c r="CB6" s="299"/>
      <c r="CC6" s="308"/>
    </row>
    <row r="7" spans="1:98" s="13" customFormat="1" ht="17.100000000000001" customHeight="1" x14ac:dyDescent="0.2">
      <c r="A7" s="335" t="s">
        <v>126</v>
      </c>
      <c r="B7" s="335"/>
      <c r="C7" s="335"/>
      <c r="D7" s="335"/>
      <c r="E7" s="335"/>
      <c r="F7" s="335"/>
      <c r="G7" s="335"/>
      <c r="H7" s="335"/>
      <c r="I7" s="335"/>
      <c r="J7" s="336"/>
      <c r="K7" s="335"/>
      <c r="L7" s="335"/>
      <c r="M7" s="335"/>
      <c r="N7" s="335"/>
      <c r="O7" s="335"/>
      <c r="P7" s="335"/>
      <c r="Q7" s="336"/>
      <c r="R7" s="336"/>
      <c r="S7" s="336"/>
      <c r="T7" s="336"/>
      <c r="U7" s="336"/>
      <c r="V7" s="336"/>
      <c r="W7" s="335"/>
      <c r="X7" s="335"/>
      <c r="Y7" s="335"/>
      <c r="Z7" s="335"/>
      <c r="AA7" s="335"/>
      <c r="AB7" s="335"/>
      <c r="AC7" s="335"/>
      <c r="AD7" s="335"/>
      <c r="AE7" s="335"/>
      <c r="AF7" s="335"/>
      <c r="AG7" s="335"/>
      <c r="AH7" s="335"/>
      <c r="AI7" s="335"/>
      <c r="AJ7" s="335"/>
      <c r="AK7" s="335"/>
      <c r="AL7" s="335"/>
      <c r="AM7" s="335"/>
      <c r="AN7" s="335"/>
      <c r="AO7" s="335"/>
      <c r="AP7" s="335"/>
      <c r="AQ7" s="335"/>
      <c r="AR7" s="335"/>
      <c r="AS7" s="335"/>
      <c r="AT7" s="335"/>
      <c r="AU7" s="335"/>
      <c r="AV7" s="335"/>
      <c r="AW7" s="335"/>
      <c r="AX7" s="335"/>
      <c r="AY7" s="335"/>
      <c r="AZ7" s="335"/>
      <c r="BA7" s="335"/>
      <c r="BB7" s="335"/>
      <c r="BC7" s="335"/>
      <c r="BD7" s="335"/>
      <c r="BE7" s="335"/>
      <c r="BF7" s="335"/>
      <c r="BG7" s="335"/>
      <c r="BH7" s="335"/>
      <c r="BI7" s="335"/>
      <c r="BJ7" s="335"/>
      <c r="BK7" s="335"/>
      <c r="BL7" s="335"/>
      <c r="BM7" s="335"/>
      <c r="BN7" s="335"/>
      <c r="BO7" s="335"/>
      <c r="BP7" s="335"/>
      <c r="BQ7" s="335"/>
      <c r="BR7" s="335"/>
      <c r="BS7" s="335"/>
      <c r="BT7" s="335"/>
      <c r="BU7" s="335"/>
      <c r="BV7" s="335"/>
      <c r="BW7" s="335"/>
      <c r="BX7" s="335"/>
      <c r="BY7" s="335"/>
      <c r="BZ7" s="335"/>
      <c r="CA7" s="335"/>
      <c r="CB7" s="335"/>
      <c r="CC7" s="27"/>
    </row>
    <row r="8" spans="1:98" s="13" customFormat="1" ht="16.5" customHeight="1" x14ac:dyDescent="0.2">
      <c r="A8" s="356" t="s">
        <v>203</v>
      </c>
      <c r="B8" s="357"/>
      <c r="C8" s="357"/>
      <c r="D8" s="357"/>
      <c r="E8" s="357"/>
      <c r="F8" s="357"/>
      <c r="G8" s="357"/>
      <c r="H8" s="357"/>
      <c r="I8" s="358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1"/>
      <c r="BN8" s="51"/>
      <c r="BO8" s="51"/>
      <c r="BP8" s="51"/>
      <c r="BQ8" s="51"/>
      <c r="BR8" s="51"/>
      <c r="BS8" s="51"/>
      <c r="BT8" s="51"/>
      <c r="BU8" s="51"/>
      <c r="BV8" s="160"/>
      <c r="BW8" s="295"/>
      <c r="BX8" s="51"/>
      <c r="BY8" s="51"/>
      <c r="BZ8" s="51"/>
      <c r="CA8" s="51"/>
      <c r="CB8" s="51" t="e">
        <f>SUM(#REF!)</f>
        <v>#REF!</v>
      </c>
      <c r="CC8" s="51" t="e">
        <f>SUM(#REF!)</f>
        <v>#REF!</v>
      </c>
    </row>
    <row r="9" spans="1:98" s="13" customFormat="1" ht="17.100000000000001" customHeight="1" x14ac:dyDescent="0.2">
      <c r="A9" s="356" t="s">
        <v>204</v>
      </c>
      <c r="B9" s="357"/>
      <c r="C9" s="357"/>
      <c r="D9" s="357"/>
      <c r="E9" s="357"/>
      <c r="F9" s="357"/>
      <c r="G9" s="357"/>
      <c r="H9" s="357"/>
      <c r="I9" s="358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295"/>
      <c r="BX9" s="51"/>
      <c r="BY9" s="51"/>
      <c r="BZ9" s="51"/>
      <c r="CA9" s="51"/>
      <c r="CB9" s="51" t="e">
        <f>SUM(#REF!)</f>
        <v>#REF!</v>
      </c>
      <c r="CC9" s="51" t="e">
        <f>SUM(#REF!)</f>
        <v>#REF!</v>
      </c>
    </row>
    <row r="10" spans="1:98" s="13" customFormat="1" ht="17.100000000000001" customHeight="1" x14ac:dyDescent="0.2">
      <c r="A10" s="356" t="s">
        <v>205</v>
      </c>
      <c r="B10" s="357"/>
      <c r="C10" s="357"/>
      <c r="D10" s="357"/>
      <c r="E10" s="357"/>
      <c r="F10" s="357"/>
      <c r="G10" s="357"/>
      <c r="H10" s="357"/>
      <c r="I10" s="358"/>
      <c r="J10" s="51">
        <f>SUM(J11:J15)</f>
        <v>460983</v>
      </c>
      <c r="K10" s="51">
        <f>SUM(K11:K15)</f>
        <v>183320</v>
      </c>
      <c r="L10" s="51">
        <f>K10+J10</f>
        <v>644303</v>
      </c>
      <c r="M10" s="51">
        <f>SUM(M11:M15)</f>
        <v>225231</v>
      </c>
      <c r="N10" s="51">
        <f>M10+L10</f>
        <v>869534</v>
      </c>
      <c r="O10" s="51">
        <f>SUM(O11:O15)</f>
        <v>0</v>
      </c>
      <c r="P10" s="51">
        <f>O10+N10</f>
        <v>869534</v>
      </c>
      <c r="Q10" s="51">
        <f>SUM(Q11:Q15)</f>
        <v>0</v>
      </c>
      <c r="R10" s="51">
        <f>SUM(R11:R15)</f>
        <v>0</v>
      </c>
      <c r="S10" s="51">
        <f>SUM(S11:S15)</f>
        <v>0</v>
      </c>
      <c r="T10" s="51">
        <f>SUM(T11:T15)</f>
        <v>0</v>
      </c>
      <c r="U10" s="51">
        <f>SUM(U11:U15)</f>
        <v>869534</v>
      </c>
      <c r="V10" s="51">
        <f>SUM(V11:V15)</f>
        <v>57168410.899999999</v>
      </c>
      <c r="W10" s="51">
        <f>SUM(W11:W15)</f>
        <v>426.36698714769648</v>
      </c>
      <c r="X10" s="51">
        <f>SUM(X11:X15)</f>
        <v>166914.53454545452</v>
      </c>
      <c r="Y10" s="51">
        <f>SUM(Y11:Y15)</f>
        <v>13468213</v>
      </c>
      <c r="Z10" s="51">
        <f>SUM(Z11:Z15)</f>
        <v>0</v>
      </c>
      <c r="AA10" s="51">
        <f>SUM(AA11:AA15)</f>
        <v>404.13255678432557</v>
      </c>
      <c r="AB10" s="51">
        <f>SUM(AB11:AB15)</f>
        <v>16691.453454545455</v>
      </c>
      <c r="AC10" s="51">
        <f>SUM(AC11:AC15)</f>
        <v>347649596.64218187</v>
      </c>
      <c r="AD10" s="51">
        <f>SUM(AD11:AD15)</f>
        <v>0</v>
      </c>
      <c r="AE10" s="51">
        <f>SUM(AE11:AE15)</f>
        <v>133716.36181818182</v>
      </c>
      <c r="AF10" s="51">
        <f>SUM(AF11:AF15)</f>
        <v>11795912</v>
      </c>
      <c r="AG10" s="51">
        <f>SUM(AG11:AG15)</f>
        <v>0</v>
      </c>
      <c r="AH10" s="51">
        <f>SUM(AH11:AH15)</f>
        <v>444.23694263280822</v>
      </c>
      <c r="AI10" s="51">
        <f>SUM(AI11:AI15)</f>
        <v>13371.636181818181</v>
      </c>
      <c r="AJ10" s="51">
        <f>SUM(AJ11:AJ15)</f>
        <v>278504438.39490908</v>
      </c>
      <c r="AK10" s="51">
        <f>SUM(AK11:AK15)</f>
        <v>0</v>
      </c>
      <c r="AL10" s="51">
        <f>SUM(AL11:AL15)</f>
        <v>119429.45999999999</v>
      </c>
      <c r="AM10" s="51">
        <f>SUM(AM11:AM15)</f>
        <v>12167468</v>
      </c>
      <c r="AN10" s="51">
        <f>SUM(AN11:AN15)</f>
        <v>0</v>
      </c>
      <c r="AO10" s="51">
        <f>SUM(AO11:AO15)</f>
        <v>509.85859782872541</v>
      </c>
      <c r="AP10" s="51">
        <f>SUM(AP11:AP15)</f>
        <v>11942.946</v>
      </c>
      <c r="AQ10" s="51">
        <f>SUM(AQ11:AQ15)</f>
        <v>251231812.05600002</v>
      </c>
      <c r="AR10" s="51">
        <f>SUM(AR11:AR15)</f>
        <v>0</v>
      </c>
      <c r="AS10" s="51">
        <f>SUM(AS11:AS15)</f>
        <v>28144</v>
      </c>
      <c r="AT10" s="51">
        <f>SUM(AT11:AT15)</f>
        <v>2882508</v>
      </c>
      <c r="AU10" s="51">
        <f>SUM(AU11:AU15)</f>
        <v>0</v>
      </c>
      <c r="AV10" s="51">
        <f>SUM(AV11:AV15)</f>
        <v>102.41998294485504</v>
      </c>
      <c r="AW10" s="51">
        <f>SUM(AW11:AW15)</f>
        <v>2814.4</v>
      </c>
      <c r="AX10" s="51">
        <f>SUM(AX11:AX15)</f>
        <v>59203718.399999999</v>
      </c>
      <c r="AY10" s="51">
        <f>SUM(AY11:AY15)</f>
        <v>0</v>
      </c>
      <c r="AZ10" s="51">
        <f>SUM(AZ11:AZ15)</f>
        <v>96699.999999999985</v>
      </c>
      <c r="BA10" s="51">
        <f>SUM(BA11:BA15)</f>
        <v>9830522</v>
      </c>
      <c r="BB10" s="51">
        <f>SUM(BB11:BB15)</f>
        <v>0</v>
      </c>
      <c r="BC10" s="51">
        <f>SUM(BC11:BC15)</f>
        <v>101.66000000000001</v>
      </c>
      <c r="BD10" s="51">
        <f>SUM(BD11:BD15)</f>
        <v>9669.9999999999982</v>
      </c>
      <c r="BE10" s="51">
        <f>SUM(BE11:BE15)</f>
        <v>205448819.99999997</v>
      </c>
      <c r="BF10" s="51">
        <f>SUM(BF11:BF15)</f>
        <v>0</v>
      </c>
      <c r="BG10" s="51">
        <f>SUM(BG11:BG15)</f>
        <v>48349.63636363636</v>
      </c>
      <c r="BH10" s="51">
        <f>SUM(BH11:BH15)</f>
        <v>5286550</v>
      </c>
      <c r="BI10" s="51">
        <f>SUM(BI11:BI15)</f>
        <v>0</v>
      </c>
      <c r="BJ10" s="51">
        <f>SUM(BJ11:BJ15)</f>
        <v>109.34001571883591</v>
      </c>
      <c r="BK10" s="51">
        <f>SUM(BK11:BK15)</f>
        <v>4834.9636363636364</v>
      </c>
      <c r="BL10" s="51">
        <f>SUM(BL11:BL15)</f>
        <v>102723637.41818182</v>
      </c>
      <c r="BM10" s="51">
        <f>SUM(BM11:BM15)</f>
        <v>0</v>
      </c>
      <c r="BN10" s="51">
        <f>SUM(BN11:BN15)</f>
        <v>0</v>
      </c>
      <c r="BO10" s="51">
        <f>SUM(BO11:BO15)</f>
        <v>0</v>
      </c>
      <c r="BP10" s="51">
        <f>SUM(BP11:BP15)</f>
        <v>0</v>
      </c>
      <c r="BQ10" s="51"/>
      <c r="BR10" s="51">
        <f>SUM(BR11:BR15)</f>
        <v>0</v>
      </c>
      <c r="BS10" s="51">
        <f>SUM(BS11:BS15)</f>
        <v>0</v>
      </c>
      <c r="BT10" s="51">
        <f>SUM(BT11:BT15)</f>
        <v>0</v>
      </c>
      <c r="BU10" s="51">
        <f>SUM(BU11:BU15)</f>
        <v>652579.39199999988</v>
      </c>
      <c r="BV10" s="51">
        <f>SUM(BV11:BV15)</f>
        <v>216954.60800000001</v>
      </c>
      <c r="BW10" s="236"/>
      <c r="BX10" s="51"/>
      <c r="BY10" s="51"/>
      <c r="BZ10" s="51">
        <f>SUM(BZ11:BZ15)</f>
        <v>103169.64363636365</v>
      </c>
      <c r="CA10" s="51">
        <f>SUM(CA11:CA15)</f>
        <v>-335849</v>
      </c>
      <c r="CB10" s="51">
        <f>SUM(CB11:CB15)</f>
        <v>0</v>
      </c>
      <c r="CC10" s="51">
        <f>SUM(CC11:CC15)</f>
        <v>0</v>
      </c>
    </row>
    <row r="11" spans="1:98" s="75" customFormat="1" ht="49.5" customHeight="1" x14ac:dyDescent="0.2">
      <c r="A11" s="16">
        <v>1</v>
      </c>
      <c r="B11" s="22" t="s">
        <v>400</v>
      </c>
      <c r="C11" s="22" t="s">
        <v>74</v>
      </c>
      <c r="D11" s="17" t="s">
        <v>9</v>
      </c>
      <c r="E11" s="33"/>
      <c r="F11" s="33"/>
      <c r="G11" s="34" t="s">
        <v>75</v>
      </c>
      <c r="H11" s="22" t="s">
        <v>77</v>
      </c>
      <c r="I11" s="35" t="s">
        <v>76</v>
      </c>
      <c r="J11" s="36">
        <f>186528</f>
        <v>186528</v>
      </c>
      <c r="K11" s="92"/>
      <c r="L11" s="92"/>
      <c r="M11" s="96">
        <f>N11-J11</f>
        <v>206392</v>
      </c>
      <c r="N11" s="96">
        <v>392920</v>
      </c>
      <c r="O11" s="100"/>
      <c r="P11" s="100"/>
      <c r="Q11" s="105"/>
      <c r="R11" s="105"/>
      <c r="S11" s="100"/>
      <c r="T11" s="100"/>
      <c r="U11" s="184">
        <f t="shared" ref="U11:U15" si="0">J11+K11+M11+O11+Q11+S11</f>
        <v>392920</v>
      </c>
      <c r="V11" s="36">
        <f>34364455</f>
        <v>34364455</v>
      </c>
      <c r="W11" s="28">
        <f>V11/(N11/1.1)</f>
        <v>96.20508118701008</v>
      </c>
      <c r="X11" s="8">
        <v>67113.08</v>
      </c>
      <c r="Y11" s="38">
        <f>5299484</f>
        <v>5299484</v>
      </c>
      <c r="Z11" s="54" t="s">
        <v>145</v>
      </c>
      <c r="AA11" s="8">
        <f t="shared" ref="AA11:AA13" si="1">Y11/X11</f>
        <v>78.963504580627202</v>
      </c>
      <c r="AB11" s="37">
        <f t="shared" ref="AB11:AB13" si="2">X11*0.1</f>
        <v>6711.3080000000009</v>
      </c>
      <c r="AC11" s="38">
        <f>AB11*20828</f>
        <v>139783123.02400002</v>
      </c>
      <c r="AD11" s="57" t="s">
        <v>163</v>
      </c>
      <c r="AE11" s="3">
        <v>33914.18</v>
      </c>
      <c r="AF11" s="14">
        <v>2701604</v>
      </c>
      <c r="AG11" s="138" t="s">
        <v>181</v>
      </c>
      <c r="AH11" s="3">
        <f t="shared" ref="AH11:AH13" si="3">AF11/AE11</f>
        <v>79.660012419583779</v>
      </c>
      <c r="AI11" s="3">
        <f>AE11*0.1</f>
        <v>3391.4180000000001</v>
      </c>
      <c r="AJ11" s="14">
        <f>AI11*20828</f>
        <v>70636454.104000002</v>
      </c>
      <c r="AK11" s="14" t="s">
        <v>192</v>
      </c>
      <c r="AL11" s="61">
        <f>33914.18+715.28</f>
        <v>34629.46</v>
      </c>
      <c r="AM11" s="62">
        <v>3503809</v>
      </c>
      <c r="AN11" s="130" t="s">
        <v>253</v>
      </c>
      <c r="AO11" s="61">
        <f t="shared" ref="AO11:AO13" si="4">AM11/AL11</f>
        <v>101.18000684965922</v>
      </c>
      <c r="AP11" s="61">
        <f t="shared" ref="AP11:AP13" si="5">AL11*0.1</f>
        <v>3462.9459999999999</v>
      </c>
      <c r="AQ11" s="62">
        <f>AP11*21036</f>
        <v>72846532.055999994</v>
      </c>
      <c r="AR11" s="63" t="s">
        <v>298</v>
      </c>
      <c r="AS11" s="37">
        <f>30958.4/1.1</f>
        <v>28144</v>
      </c>
      <c r="AT11" s="38">
        <v>2882508</v>
      </c>
      <c r="AU11" s="38" t="s">
        <v>329</v>
      </c>
      <c r="AV11" s="37">
        <f>AT11/AS11</f>
        <v>102.41998294485504</v>
      </c>
      <c r="AW11" s="37">
        <f>AS11*0.1</f>
        <v>2814.4</v>
      </c>
      <c r="AX11" s="38">
        <f>AW11*21036</f>
        <v>59203718.399999999</v>
      </c>
      <c r="AY11" s="59" t="s">
        <v>342</v>
      </c>
      <c r="AZ11" s="85">
        <f>106370/1.1</f>
        <v>96699.999999999985</v>
      </c>
      <c r="BA11" s="86">
        <v>9830522</v>
      </c>
      <c r="BB11" s="85" t="s">
        <v>368</v>
      </c>
      <c r="BC11" s="85">
        <f>BA11/AZ11</f>
        <v>101.66000000000001</v>
      </c>
      <c r="BD11" s="85">
        <f>AZ11*0.1</f>
        <v>9669.9999999999982</v>
      </c>
      <c r="BE11" s="86">
        <f>BD11*21246</f>
        <v>205448819.99999997</v>
      </c>
      <c r="BF11" s="205" t="s">
        <v>388</v>
      </c>
      <c r="BG11" s="287">
        <f>53184.6/1.1</f>
        <v>48349.63636363636</v>
      </c>
      <c r="BH11" s="286">
        <v>5286550</v>
      </c>
      <c r="BI11" s="286" t="s">
        <v>399</v>
      </c>
      <c r="BJ11" s="287">
        <f>BH11/BG11</f>
        <v>109.34001571883591</v>
      </c>
      <c r="BK11" s="287">
        <f>BG11*0.1</f>
        <v>4834.9636363636364</v>
      </c>
      <c r="BL11" s="286">
        <f>BK11*21246</f>
        <v>102723637.41818182</v>
      </c>
      <c r="BM11" s="286" t="s">
        <v>401</v>
      </c>
      <c r="BN11" s="11"/>
      <c r="BO11" s="79"/>
      <c r="BP11" s="11"/>
      <c r="BQ11" s="11"/>
      <c r="BR11" s="11"/>
      <c r="BS11" s="79"/>
      <c r="BT11" s="11"/>
      <c r="BU11" s="8">
        <f>X11+AB11+AE11+AI11+AL11+AP11+AS11+AW11+AZ11+BD11+BN11+BR11+BG11+BK11</f>
        <v>339735.39199999993</v>
      </c>
      <c r="BV11" s="262">
        <f>N11-(X11+AE11+BN11+AI11+AL11+AP11+AS11+AW11+AZ11+BD11+BR11+AB11+BG11+BK11)</f>
        <v>53184.608000000007</v>
      </c>
      <c r="BW11" s="247" t="s">
        <v>366</v>
      </c>
      <c r="BX11" s="139" t="s">
        <v>396</v>
      </c>
      <c r="BY11" s="140" t="s">
        <v>330</v>
      </c>
      <c r="BZ11" s="29">
        <f>J11-X11-AE11-BN11-AL11-AS11-AZ11</f>
        <v>-73972.72</v>
      </c>
      <c r="CA11" s="30">
        <f>V11- (Y11+AF11+BO11+AM11+AT11+BA11+BH11)</f>
        <v>4859978</v>
      </c>
      <c r="CB11" s="33"/>
      <c r="CC11" s="12" t="s">
        <v>344</v>
      </c>
      <c r="CD11" s="113"/>
      <c r="CE11" s="113"/>
      <c r="CF11" s="113"/>
      <c r="CG11" s="113"/>
      <c r="CH11" s="113"/>
      <c r="CI11" s="113"/>
      <c r="CJ11" s="113"/>
      <c r="CK11" s="113"/>
      <c r="CL11" s="113"/>
      <c r="CM11" s="113"/>
      <c r="CN11" s="113"/>
      <c r="CO11" s="113"/>
      <c r="CP11" s="113"/>
      <c r="CQ11" s="113"/>
      <c r="CR11" s="113"/>
      <c r="CS11" s="113"/>
      <c r="CT11" s="113"/>
    </row>
    <row r="12" spans="1:98" s="13" customFormat="1" ht="49.5" customHeight="1" x14ac:dyDescent="0.2">
      <c r="A12" s="16">
        <v>5</v>
      </c>
      <c r="B12" s="22" t="s">
        <v>377</v>
      </c>
      <c r="C12" s="16" t="s">
        <v>1</v>
      </c>
      <c r="D12" s="17" t="s">
        <v>2</v>
      </c>
      <c r="E12" s="33"/>
      <c r="F12" s="33"/>
      <c r="G12" s="22" t="s">
        <v>150</v>
      </c>
      <c r="H12" s="22"/>
      <c r="I12" s="35" t="s">
        <v>154</v>
      </c>
      <c r="J12" s="36">
        <v>93500</v>
      </c>
      <c r="K12" s="38">
        <f>L12-J12</f>
        <v>101200</v>
      </c>
      <c r="L12" s="38">
        <v>194700</v>
      </c>
      <c r="M12" s="96"/>
      <c r="N12" s="96"/>
      <c r="O12" s="100"/>
      <c r="P12" s="100"/>
      <c r="Q12" s="105"/>
      <c r="R12" s="105"/>
      <c r="S12" s="100"/>
      <c r="T12" s="100"/>
      <c r="U12" s="184">
        <f t="shared" si="0"/>
        <v>194700</v>
      </c>
      <c r="V12" s="36">
        <f>6681000*1.1</f>
        <v>7349100.0000000009</v>
      </c>
      <c r="W12" s="44">
        <f t="shared" ref="W12:W13" si="6">V12/J12</f>
        <v>78.600000000000009</v>
      </c>
      <c r="X12" s="37">
        <f>J12*0.4/1.1</f>
        <v>34000</v>
      </c>
      <c r="Y12" s="38">
        <v>2708440</v>
      </c>
      <c r="Z12" s="59" t="s">
        <v>183</v>
      </c>
      <c r="AA12" s="37">
        <f t="shared" si="1"/>
        <v>79.66</v>
      </c>
      <c r="AB12" s="37">
        <f t="shared" si="2"/>
        <v>3400</v>
      </c>
      <c r="AC12" s="38">
        <f>AB12*20828</f>
        <v>70815200</v>
      </c>
      <c r="AD12" s="59" t="s">
        <v>198</v>
      </c>
      <c r="AE12" s="39">
        <v>34000</v>
      </c>
      <c r="AF12" s="40">
        <v>3329280</v>
      </c>
      <c r="AG12" s="67" t="s">
        <v>241</v>
      </c>
      <c r="AH12" s="39">
        <f t="shared" si="3"/>
        <v>97.92</v>
      </c>
      <c r="AI12" s="39">
        <f>AE12*0.1</f>
        <v>3400</v>
      </c>
      <c r="AJ12" s="40">
        <f>AI12*20828</f>
        <v>70815200</v>
      </c>
      <c r="AK12" s="40" t="s">
        <v>260</v>
      </c>
      <c r="AL12" s="64">
        <v>18000</v>
      </c>
      <c r="AM12" s="65">
        <f>1834920</f>
        <v>1834920</v>
      </c>
      <c r="AN12" s="65" t="s">
        <v>350</v>
      </c>
      <c r="AO12" s="64">
        <f t="shared" si="4"/>
        <v>101.94</v>
      </c>
      <c r="AP12" s="61">
        <f t="shared" si="5"/>
        <v>1800</v>
      </c>
      <c r="AQ12" s="65">
        <f>AP12*21036</f>
        <v>37864800</v>
      </c>
      <c r="AR12" s="62" t="s">
        <v>359</v>
      </c>
      <c r="AS12" s="37"/>
      <c r="AT12" s="38"/>
      <c r="AU12" s="38"/>
      <c r="AV12" s="37"/>
      <c r="AW12" s="37"/>
      <c r="AX12" s="38"/>
      <c r="AY12" s="38"/>
      <c r="AZ12" s="85"/>
      <c r="BA12" s="86"/>
      <c r="BB12" s="86"/>
      <c r="BC12" s="85"/>
      <c r="BD12" s="85"/>
      <c r="BE12" s="86"/>
      <c r="BF12" s="86"/>
      <c r="BG12" s="282"/>
      <c r="BH12" s="282"/>
      <c r="BI12" s="282"/>
      <c r="BJ12" s="282"/>
      <c r="BK12" s="282"/>
      <c r="BL12" s="282"/>
      <c r="BM12" s="282"/>
      <c r="BN12" s="41"/>
      <c r="BO12" s="127"/>
      <c r="BP12" s="41"/>
      <c r="BQ12" s="41"/>
      <c r="BR12" s="41"/>
      <c r="BS12" s="127"/>
      <c r="BT12" s="41"/>
      <c r="BU12" s="8">
        <f t="shared" ref="BU12:BU15" si="7">X12+AB12+AE12+AI12+AL12+AP12+AS12+AW12+AZ12+BD12+BN12+BR12</f>
        <v>94600</v>
      </c>
      <c r="BV12" s="263">
        <f>L12-(X12+AE12+BN12+AI12+AL12+AP12+AS12+AW12+AZ12+BD12+BR12+AB12)</f>
        <v>100100</v>
      </c>
      <c r="BW12" s="237" t="s">
        <v>362</v>
      </c>
      <c r="BX12" s="140" t="s">
        <v>355</v>
      </c>
      <c r="BY12" s="140" t="s">
        <v>320</v>
      </c>
      <c r="BZ12" s="29">
        <f>L12-X12-AE12-BN12-AL12-AS12-AZ12</f>
        <v>108700</v>
      </c>
      <c r="CA12" s="30">
        <f t="shared" ref="CA12:CA13" si="8">V12/1.1-Y12-AF12-BO12-AM12-AT12-BA12</f>
        <v>-1191640</v>
      </c>
      <c r="CB12" s="42"/>
      <c r="CC12" s="12" t="s">
        <v>291</v>
      </c>
    </row>
    <row r="13" spans="1:98" s="13" customFormat="1" ht="50.25" customHeight="1" x14ac:dyDescent="0.2">
      <c r="A13" s="16">
        <v>6</v>
      </c>
      <c r="B13" s="16" t="s">
        <v>101</v>
      </c>
      <c r="C13" s="16" t="s">
        <v>1</v>
      </c>
      <c r="D13" s="17" t="s">
        <v>2</v>
      </c>
      <c r="E13" s="17"/>
      <c r="F13" s="17"/>
      <c r="G13" s="16" t="s">
        <v>53</v>
      </c>
      <c r="H13" s="16" t="s">
        <v>54</v>
      </c>
      <c r="I13" s="18" t="s">
        <v>200</v>
      </c>
      <c r="J13" s="19">
        <f>80196</f>
        <v>80196</v>
      </c>
      <c r="K13" s="91">
        <v>11191</v>
      </c>
      <c r="L13" s="91">
        <f>J13+K13</f>
        <v>91387</v>
      </c>
      <c r="M13" s="94">
        <f>N13-L13</f>
        <v>3771</v>
      </c>
      <c r="N13" s="94">
        <v>95158</v>
      </c>
      <c r="O13" s="98"/>
      <c r="P13" s="98"/>
      <c r="Q13" s="103"/>
      <c r="R13" s="103"/>
      <c r="S13" s="98"/>
      <c r="T13" s="98"/>
      <c r="U13" s="184">
        <f t="shared" si="0"/>
        <v>95158</v>
      </c>
      <c r="V13" s="19">
        <f>1.1*6827753</f>
        <v>7510528.3000000007</v>
      </c>
      <c r="W13" s="28">
        <f t="shared" si="6"/>
        <v>93.652155967878713</v>
      </c>
      <c r="X13" s="8">
        <f>32078/1.1</f>
        <v>29161.81818181818</v>
      </c>
      <c r="Y13" s="9">
        <v>2604413</v>
      </c>
      <c r="Z13" s="53" t="s">
        <v>63</v>
      </c>
      <c r="AA13" s="8">
        <f t="shared" si="1"/>
        <v>89.309006172454644</v>
      </c>
      <c r="AB13" s="8">
        <f t="shared" si="2"/>
        <v>2916.181818181818</v>
      </c>
      <c r="AC13" s="9">
        <v>60738239</v>
      </c>
      <c r="AD13" s="9" t="s">
        <v>136</v>
      </c>
      <c r="AE13" s="10">
        <f>J13*0.4/1.1</f>
        <v>29162.181818181816</v>
      </c>
      <c r="AF13" s="20">
        <v>2262971</v>
      </c>
      <c r="AG13" s="58" t="s">
        <v>178</v>
      </c>
      <c r="AH13" s="10">
        <f t="shared" si="3"/>
        <v>77.599509327148496</v>
      </c>
      <c r="AI13" s="10">
        <f t="shared" ref="AI13:AI15" si="9">AE13*0.1</f>
        <v>2916.2181818181816</v>
      </c>
      <c r="AJ13" s="20">
        <f t="shared" ref="AJ13" si="10">AI13*20828</f>
        <v>60738992.290909089</v>
      </c>
      <c r="AK13" s="20" t="s">
        <v>192</v>
      </c>
      <c r="AL13" s="61">
        <v>12968.18</v>
      </c>
      <c r="AM13" s="62">
        <v>1321958</v>
      </c>
      <c r="AN13" s="63" t="s">
        <v>350</v>
      </c>
      <c r="AO13" s="61">
        <f t="shared" si="4"/>
        <v>101.93859122868436</v>
      </c>
      <c r="AP13" s="61">
        <f t="shared" si="5"/>
        <v>1296.8180000000002</v>
      </c>
      <c r="AQ13" s="62">
        <f>AP13*21036</f>
        <v>27279863.448000003</v>
      </c>
      <c r="AR13" s="62" t="s">
        <v>359</v>
      </c>
      <c r="AS13" s="8"/>
      <c r="AT13" s="9"/>
      <c r="AU13" s="57"/>
      <c r="AV13" s="8"/>
      <c r="AW13" s="8"/>
      <c r="AX13" s="9"/>
      <c r="AY13" s="9"/>
      <c r="AZ13" s="83"/>
      <c r="BA13" s="84"/>
      <c r="BB13" s="87"/>
      <c r="BC13" s="83"/>
      <c r="BD13" s="83"/>
      <c r="BE13" s="84"/>
      <c r="BF13" s="84"/>
      <c r="BG13" s="281"/>
      <c r="BH13" s="281"/>
      <c r="BI13" s="281"/>
      <c r="BJ13" s="281"/>
      <c r="BK13" s="281"/>
      <c r="BL13" s="281"/>
      <c r="BM13" s="281"/>
      <c r="BN13" s="11"/>
      <c r="BO13" s="79"/>
      <c r="BP13" s="11"/>
      <c r="BQ13" s="11"/>
      <c r="BR13" s="11"/>
      <c r="BS13" s="79"/>
      <c r="BT13" s="11"/>
      <c r="BU13" s="8">
        <f t="shared" si="7"/>
        <v>78421.397999999986</v>
      </c>
      <c r="BV13" s="263">
        <f>N13-(X13+AE13+BN13+AI13+AL13+AP13+AS13+AW13+AZ13+BD13+BR13+AB13)</f>
        <v>16736.601999999984</v>
      </c>
      <c r="BW13" s="246" t="s">
        <v>363</v>
      </c>
      <c r="BX13" s="140" t="s">
        <v>356</v>
      </c>
      <c r="BY13" s="140" t="s">
        <v>320</v>
      </c>
      <c r="BZ13" s="29">
        <f>N13-X13-AE13-BN13-AL13-AS13-AZ13</f>
        <v>23865.820000000007</v>
      </c>
      <c r="CA13" s="30">
        <f t="shared" si="8"/>
        <v>638411</v>
      </c>
      <c r="CB13" s="7"/>
      <c r="CC13" s="12" t="s">
        <v>284</v>
      </c>
    </row>
    <row r="14" spans="1:98" s="13" customFormat="1" ht="49.5" customHeight="1" x14ac:dyDescent="0.2">
      <c r="A14" s="16">
        <v>18</v>
      </c>
      <c r="B14" s="22" t="s">
        <v>173</v>
      </c>
      <c r="C14" s="16" t="s">
        <v>1</v>
      </c>
      <c r="D14" s="17" t="s">
        <v>2</v>
      </c>
      <c r="E14" s="33"/>
      <c r="F14" s="33"/>
      <c r="G14" s="22" t="s">
        <v>149</v>
      </c>
      <c r="H14" s="22"/>
      <c r="I14" s="35" t="s">
        <v>152</v>
      </c>
      <c r="J14" s="36">
        <v>66000</v>
      </c>
      <c r="K14" s="38">
        <f>L14-J14</f>
        <v>61600</v>
      </c>
      <c r="L14" s="38">
        <v>127600</v>
      </c>
      <c r="M14" s="96"/>
      <c r="N14" s="96"/>
      <c r="O14" s="100"/>
      <c r="P14" s="100"/>
      <c r="Q14" s="105"/>
      <c r="R14" s="105"/>
      <c r="S14" s="100"/>
      <c r="T14" s="100"/>
      <c r="U14" s="184">
        <f t="shared" si="0"/>
        <v>127600</v>
      </c>
      <c r="V14" s="36">
        <f>4716000*1.1</f>
        <v>5187600</v>
      </c>
      <c r="W14" s="44">
        <f t="shared" ref="W14:W15" si="11">V14/J14</f>
        <v>78.599999999999994</v>
      </c>
      <c r="X14" s="37">
        <f t="shared" ref="X14:X15" si="12">J14*0.4/1.1</f>
        <v>23999.999999999996</v>
      </c>
      <c r="Y14" s="38">
        <v>1862400</v>
      </c>
      <c r="Z14" s="54" t="s">
        <v>171</v>
      </c>
      <c r="AA14" s="37">
        <f t="shared" ref="AA14" si="13">Y14/X14</f>
        <v>77.600000000000009</v>
      </c>
      <c r="AB14" s="37">
        <f t="shared" ref="AB14:AB15" si="14">X14*0.1</f>
        <v>2399.9999999999995</v>
      </c>
      <c r="AC14" s="38">
        <v>49987200</v>
      </c>
      <c r="AD14" s="59" t="s">
        <v>186</v>
      </c>
      <c r="AE14" s="39">
        <v>24000</v>
      </c>
      <c r="AF14" s="40">
        <v>2350080</v>
      </c>
      <c r="AG14" s="67" t="s">
        <v>241</v>
      </c>
      <c r="AH14" s="39">
        <f>AF14/AE14</f>
        <v>97.92</v>
      </c>
      <c r="AI14" s="39">
        <f t="shared" si="9"/>
        <v>2400</v>
      </c>
      <c r="AJ14" s="40">
        <f>AI14*20828</f>
        <v>49987200</v>
      </c>
      <c r="AK14" s="40" t="s">
        <v>260</v>
      </c>
      <c r="AL14" s="64">
        <v>33000</v>
      </c>
      <c r="AM14" s="65">
        <v>3364020</v>
      </c>
      <c r="AN14" s="65" t="s">
        <v>350</v>
      </c>
      <c r="AO14" s="64">
        <f t="shared" ref="AO14:AO15" si="15">AM14/AL14</f>
        <v>101.94</v>
      </c>
      <c r="AP14" s="64">
        <f t="shared" ref="AP14:AP15" si="16">AL14*0.1</f>
        <v>3300</v>
      </c>
      <c r="AQ14" s="65">
        <f>AP14*21036</f>
        <v>69418800</v>
      </c>
      <c r="AR14" s="65" t="s">
        <v>359</v>
      </c>
      <c r="AS14" s="37"/>
      <c r="AT14" s="38"/>
      <c r="AU14" s="38"/>
      <c r="AV14" s="37"/>
      <c r="AW14" s="37"/>
      <c r="AX14" s="38"/>
      <c r="AY14" s="38"/>
      <c r="AZ14" s="85"/>
      <c r="BA14" s="86"/>
      <c r="BB14" s="86"/>
      <c r="BC14" s="85"/>
      <c r="BD14" s="85"/>
      <c r="BE14" s="86"/>
      <c r="BF14" s="86"/>
      <c r="BG14" s="282"/>
      <c r="BH14" s="282"/>
      <c r="BI14" s="282"/>
      <c r="BJ14" s="282"/>
      <c r="BK14" s="282"/>
      <c r="BL14" s="282"/>
      <c r="BM14" s="282"/>
      <c r="BN14" s="41"/>
      <c r="BO14" s="127"/>
      <c r="BP14" s="41"/>
      <c r="BQ14" s="41"/>
      <c r="BR14" s="41"/>
      <c r="BS14" s="127"/>
      <c r="BT14" s="41"/>
      <c r="BU14" s="8">
        <f t="shared" si="7"/>
        <v>89100</v>
      </c>
      <c r="BV14" s="263">
        <f>L14-(X14+AE14+BN14+AI14+AL14+AP14+AS14+AW14+AZ14+BD14+BR14+AB14)</f>
        <v>38500</v>
      </c>
      <c r="BW14" s="237" t="s">
        <v>362</v>
      </c>
      <c r="BX14" s="140" t="s">
        <v>357</v>
      </c>
      <c r="BY14" s="139" t="s">
        <v>320</v>
      </c>
      <c r="BZ14" s="29">
        <f t="shared" ref="BZ14:BZ15" si="17">L14-X14-AE14-BN14-AL14-AS14-AZ14</f>
        <v>46600</v>
      </c>
      <c r="CA14" s="30">
        <f t="shared" ref="CA14:CA15" si="18">V14/1.1-Y14-AF14-BO14-AM14-AT14-BA14</f>
        <v>-2860500</v>
      </c>
      <c r="CB14" s="42"/>
      <c r="CC14" s="12" t="s">
        <v>283</v>
      </c>
    </row>
    <row r="15" spans="1:98" s="72" customFormat="1" ht="50.25" customHeight="1" x14ac:dyDescent="0.2">
      <c r="A15" s="16">
        <v>19</v>
      </c>
      <c r="B15" s="16" t="s">
        <v>160</v>
      </c>
      <c r="C15" s="16" t="s">
        <v>1</v>
      </c>
      <c r="D15" s="17" t="s">
        <v>2</v>
      </c>
      <c r="E15" s="17"/>
      <c r="F15" s="17"/>
      <c r="G15" s="21">
        <v>40916</v>
      </c>
      <c r="H15" s="16"/>
      <c r="I15" s="18" t="s">
        <v>207</v>
      </c>
      <c r="J15" s="19">
        <v>34759</v>
      </c>
      <c r="K15" s="91">
        <v>9329</v>
      </c>
      <c r="L15" s="91">
        <f>J15+K15</f>
        <v>44088</v>
      </c>
      <c r="M15" s="38">
        <f>N15-L15</f>
        <v>15068</v>
      </c>
      <c r="N15" s="38">
        <v>59156</v>
      </c>
      <c r="O15" s="98"/>
      <c r="P15" s="98"/>
      <c r="Q15" s="103"/>
      <c r="R15" s="103"/>
      <c r="S15" s="98"/>
      <c r="T15" s="98"/>
      <c r="U15" s="184">
        <f t="shared" si="0"/>
        <v>59156</v>
      </c>
      <c r="V15" s="19">
        <f>1.1*2506116</f>
        <v>2756727.6</v>
      </c>
      <c r="W15" s="28">
        <f t="shared" si="11"/>
        <v>79.309749992807625</v>
      </c>
      <c r="X15" s="8">
        <f t="shared" si="12"/>
        <v>12639.636363636362</v>
      </c>
      <c r="Y15" s="9">
        <v>993476</v>
      </c>
      <c r="Z15" s="53" t="s">
        <v>162</v>
      </c>
      <c r="AA15" s="8">
        <f>Y15/X15</f>
        <v>78.600046031243721</v>
      </c>
      <c r="AB15" s="8">
        <f t="shared" si="14"/>
        <v>1263.9636363636364</v>
      </c>
      <c r="AC15" s="9">
        <f t="shared" ref="AC15" si="19">AB15*20828</f>
        <v>26325834.618181817</v>
      </c>
      <c r="AD15" s="57" t="s">
        <v>186</v>
      </c>
      <c r="AE15" s="10">
        <v>12640</v>
      </c>
      <c r="AF15" s="20">
        <v>1151977</v>
      </c>
      <c r="AG15" s="58" t="s">
        <v>218</v>
      </c>
      <c r="AH15" s="10">
        <f t="shared" ref="AH15" si="20">AF15/AE15</f>
        <v>91.137420886075944</v>
      </c>
      <c r="AI15" s="10">
        <f t="shared" si="9"/>
        <v>1264</v>
      </c>
      <c r="AJ15" s="20">
        <f>AI15*20828</f>
        <v>26326592</v>
      </c>
      <c r="AK15" s="58" t="s">
        <v>229</v>
      </c>
      <c r="AL15" s="61">
        <v>20831.82</v>
      </c>
      <c r="AM15" s="62">
        <v>2142761</v>
      </c>
      <c r="AN15" s="62" t="s">
        <v>346</v>
      </c>
      <c r="AO15" s="61">
        <f t="shared" si="15"/>
        <v>102.85999975038187</v>
      </c>
      <c r="AP15" s="64">
        <f t="shared" si="16"/>
        <v>2083.1820000000002</v>
      </c>
      <c r="AQ15" s="62">
        <f>AP15*21036</f>
        <v>43821816.552000009</v>
      </c>
      <c r="AR15" s="62" t="s">
        <v>360</v>
      </c>
      <c r="AS15" s="81"/>
      <c r="AT15" s="82"/>
      <c r="AU15" s="82"/>
      <c r="AV15" s="81"/>
      <c r="AW15" s="81"/>
      <c r="AX15" s="82"/>
      <c r="AY15" s="82"/>
      <c r="AZ15" s="88"/>
      <c r="BA15" s="89"/>
      <c r="BB15" s="89"/>
      <c r="BC15" s="88"/>
      <c r="BD15" s="88"/>
      <c r="BE15" s="89"/>
      <c r="BF15" s="89"/>
      <c r="BG15" s="284"/>
      <c r="BH15" s="284"/>
      <c r="BI15" s="284"/>
      <c r="BJ15" s="284"/>
      <c r="BK15" s="284"/>
      <c r="BL15" s="284"/>
      <c r="BM15" s="284"/>
      <c r="BN15" s="70"/>
      <c r="BO15" s="153"/>
      <c r="BP15" s="70"/>
      <c r="BQ15" s="70"/>
      <c r="BR15" s="70"/>
      <c r="BS15" s="153"/>
      <c r="BT15" s="70"/>
      <c r="BU15" s="8">
        <f t="shared" si="7"/>
        <v>50722.601999999999</v>
      </c>
      <c r="BV15" s="263">
        <f>N15-(X15+AE15+BN15+AI15+AL15+AP15+AS15+AW15+AZ15+BD15+BR15+AB15)</f>
        <v>8433.398000000001</v>
      </c>
      <c r="BW15" s="246" t="s">
        <v>364</v>
      </c>
      <c r="BX15" s="140" t="s">
        <v>358</v>
      </c>
      <c r="BY15" s="139" t="s">
        <v>320</v>
      </c>
      <c r="BZ15" s="29">
        <f t="shared" si="17"/>
        <v>-2023.45636363636</v>
      </c>
      <c r="CA15" s="30">
        <f t="shared" si="18"/>
        <v>-1782098</v>
      </c>
      <c r="CB15" s="71"/>
      <c r="CC15" s="12" t="s">
        <v>284</v>
      </c>
    </row>
    <row r="16" spans="1:98" s="13" customFormat="1" ht="17.100000000000001" customHeight="1" x14ac:dyDescent="0.2">
      <c r="A16" s="356" t="s">
        <v>295</v>
      </c>
      <c r="B16" s="357"/>
      <c r="C16" s="357"/>
      <c r="D16" s="357"/>
      <c r="E16" s="357"/>
      <c r="F16" s="357"/>
      <c r="G16" s="357"/>
      <c r="H16" s="357"/>
      <c r="I16" s="358"/>
      <c r="J16" s="51">
        <f t="shared" ref="J16:AO16" si="21">SUM(J17:J17)</f>
        <v>95260</v>
      </c>
      <c r="K16" s="51">
        <f t="shared" si="21"/>
        <v>31020</v>
      </c>
      <c r="L16" s="51">
        <f t="shared" si="21"/>
        <v>126280</v>
      </c>
      <c r="M16" s="51">
        <f t="shared" si="21"/>
        <v>0</v>
      </c>
      <c r="N16" s="51">
        <f t="shared" si="21"/>
        <v>0</v>
      </c>
      <c r="O16" s="51">
        <f t="shared" si="21"/>
        <v>0</v>
      </c>
      <c r="P16" s="51">
        <f t="shared" si="21"/>
        <v>0</v>
      </c>
      <c r="Q16" s="51">
        <f t="shared" si="21"/>
        <v>0</v>
      </c>
      <c r="R16" s="51">
        <f t="shared" si="21"/>
        <v>0</v>
      </c>
      <c r="S16" s="51">
        <f t="shared" si="21"/>
        <v>0</v>
      </c>
      <c r="T16" s="51">
        <f t="shared" si="21"/>
        <v>0</v>
      </c>
      <c r="U16" s="51">
        <f t="shared" si="21"/>
        <v>126280</v>
      </c>
      <c r="V16" s="51">
        <f t="shared" si="21"/>
        <v>7517919</v>
      </c>
      <c r="W16" s="51">
        <f t="shared" si="21"/>
        <v>78.919997900482883</v>
      </c>
      <c r="X16" s="51">
        <f t="shared" si="21"/>
        <v>34640</v>
      </c>
      <c r="Y16" s="51">
        <f t="shared" si="21"/>
        <v>2688064</v>
      </c>
      <c r="Z16" s="51">
        <f t="shared" si="21"/>
        <v>41132</v>
      </c>
      <c r="AA16" s="51">
        <f t="shared" si="21"/>
        <v>77.599999999999994</v>
      </c>
      <c r="AB16" s="51">
        <f t="shared" si="21"/>
        <v>3464</v>
      </c>
      <c r="AC16" s="51">
        <f t="shared" si="21"/>
        <v>72148192</v>
      </c>
      <c r="AD16" s="51">
        <f t="shared" si="21"/>
        <v>0</v>
      </c>
      <c r="AE16" s="51">
        <f t="shared" si="21"/>
        <v>34640</v>
      </c>
      <c r="AF16" s="51">
        <f t="shared" si="21"/>
        <v>3638932</v>
      </c>
      <c r="AG16" s="51">
        <f t="shared" si="21"/>
        <v>0</v>
      </c>
      <c r="AH16" s="51">
        <f t="shared" si="21"/>
        <v>105.05</v>
      </c>
      <c r="AI16" s="51">
        <f t="shared" si="21"/>
        <v>3464</v>
      </c>
      <c r="AJ16" s="51">
        <f t="shared" si="21"/>
        <v>72868704</v>
      </c>
      <c r="AK16" s="51">
        <f t="shared" si="21"/>
        <v>0</v>
      </c>
      <c r="AL16" s="51">
        <f t="shared" si="21"/>
        <v>21920</v>
      </c>
      <c r="AM16" s="51">
        <f t="shared" si="21"/>
        <v>2228387</v>
      </c>
      <c r="AN16" s="51">
        <f t="shared" si="21"/>
        <v>0</v>
      </c>
      <c r="AO16" s="51">
        <f t="shared" si="21"/>
        <v>101.65999087591241</v>
      </c>
      <c r="AP16" s="51">
        <f t="shared" ref="AP16:BP16" si="22">SUM(AP17:AP17)</f>
        <v>2192</v>
      </c>
      <c r="AQ16" s="51">
        <f t="shared" si="22"/>
        <v>46571232</v>
      </c>
      <c r="AR16" s="51">
        <f t="shared" si="22"/>
        <v>0</v>
      </c>
      <c r="AS16" s="51">
        <f t="shared" si="22"/>
        <v>0</v>
      </c>
      <c r="AT16" s="51">
        <f t="shared" si="22"/>
        <v>0</v>
      </c>
      <c r="AU16" s="51">
        <f t="shared" si="22"/>
        <v>0</v>
      </c>
      <c r="AV16" s="51">
        <f t="shared" si="22"/>
        <v>0</v>
      </c>
      <c r="AW16" s="51">
        <f t="shared" si="22"/>
        <v>0</v>
      </c>
      <c r="AX16" s="51">
        <f t="shared" si="22"/>
        <v>0</v>
      </c>
      <c r="AY16" s="51">
        <f t="shared" si="22"/>
        <v>0</v>
      </c>
      <c r="AZ16" s="51">
        <f t="shared" si="22"/>
        <v>0</v>
      </c>
      <c r="BA16" s="51">
        <f t="shared" si="22"/>
        <v>0</v>
      </c>
      <c r="BB16" s="51">
        <f t="shared" si="22"/>
        <v>0</v>
      </c>
      <c r="BC16" s="51">
        <f t="shared" si="22"/>
        <v>0</v>
      </c>
      <c r="BD16" s="51">
        <f t="shared" si="22"/>
        <v>0</v>
      </c>
      <c r="BE16" s="51">
        <f t="shared" si="22"/>
        <v>0</v>
      </c>
      <c r="BF16" s="51">
        <f t="shared" si="22"/>
        <v>0</v>
      </c>
      <c r="BG16" s="51">
        <f t="shared" si="22"/>
        <v>0</v>
      </c>
      <c r="BH16" s="51">
        <f t="shared" si="22"/>
        <v>0</v>
      </c>
      <c r="BI16" s="51">
        <f t="shared" si="22"/>
        <v>0</v>
      </c>
      <c r="BJ16" s="51">
        <f t="shared" si="22"/>
        <v>0</v>
      </c>
      <c r="BK16" s="51">
        <f t="shared" si="22"/>
        <v>0</v>
      </c>
      <c r="BL16" s="51">
        <f t="shared" si="22"/>
        <v>0</v>
      </c>
      <c r="BM16" s="51">
        <f t="shared" si="22"/>
        <v>0</v>
      </c>
      <c r="BN16" s="51">
        <f t="shared" si="22"/>
        <v>0</v>
      </c>
      <c r="BO16" s="51">
        <f t="shared" si="22"/>
        <v>0</v>
      </c>
      <c r="BP16" s="51">
        <f t="shared" si="22"/>
        <v>0</v>
      </c>
      <c r="BQ16" s="51"/>
      <c r="BR16" s="51">
        <f>SUM(BR17:BR17)</f>
        <v>0</v>
      </c>
      <c r="BS16" s="51">
        <f>SUM(BS17:BS17)</f>
        <v>0</v>
      </c>
      <c r="BT16" s="51">
        <f>SUM(BT17:BT17)</f>
        <v>0</v>
      </c>
      <c r="BU16" s="51">
        <f>SUM(BU17:BU17)</f>
        <v>100320</v>
      </c>
      <c r="BV16" s="51">
        <f>SUM(BV17:BV17)</f>
        <v>25960</v>
      </c>
      <c r="BW16" s="236"/>
      <c r="BX16" s="51">
        <f>SUM(BX17:BX17)</f>
        <v>0</v>
      </c>
      <c r="BY16" s="51"/>
      <c r="BZ16" s="51">
        <f>SUM(BZ17:BZ17)</f>
        <v>35080</v>
      </c>
      <c r="CA16" s="51">
        <f>SUM(CA17:CA17)</f>
        <v>-1720911.1818181826</v>
      </c>
      <c r="CB16" s="51">
        <f>SUM(CB17:CB17)</f>
        <v>0</v>
      </c>
      <c r="CC16" s="51">
        <f>SUM(CC17:CC17)</f>
        <v>0</v>
      </c>
    </row>
    <row r="17" spans="1:81" s="13" customFormat="1" ht="49.5" customHeight="1" x14ac:dyDescent="0.2">
      <c r="A17" s="16">
        <v>2</v>
      </c>
      <c r="B17" s="22" t="s">
        <v>82</v>
      </c>
      <c r="C17" s="16" t="s">
        <v>1</v>
      </c>
      <c r="D17" s="17" t="s">
        <v>2</v>
      </c>
      <c r="E17" s="33"/>
      <c r="F17" s="33"/>
      <c r="G17" s="34">
        <v>40914</v>
      </c>
      <c r="H17" s="22" t="s">
        <v>78</v>
      </c>
      <c r="I17" s="35" t="s">
        <v>62</v>
      </c>
      <c r="J17" s="36">
        <v>95260</v>
      </c>
      <c r="K17" s="92">
        <f>L17-J17</f>
        <v>31020</v>
      </c>
      <c r="L17" s="92">
        <v>126280</v>
      </c>
      <c r="M17" s="96"/>
      <c r="N17" s="96"/>
      <c r="O17" s="100"/>
      <c r="P17" s="100"/>
      <c r="Q17" s="105"/>
      <c r="R17" s="105"/>
      <c r="S17" s="100"/>
      <c r="T17" s="100"/>
      <c r="U17" s="184">
        <f t="shared" ref="U17" si="23">J17+K17+M17+O17+Q17+S17</f>
        <v>126280</v>
      </c>
      <c r="V17" s="36">
        <f>7517919</f>
        <v>7517919</v>
      </c>
      <c r="W17" s="28">
        <f>V17/J17</f>
        <v>78.919997900482883</v>
      </c>
      <c r="X17" s="37">
        <f>J17*0.4/1.1</f>
        <v>34640</v>
      </c>
      <c r="Y17" s="38">
        <v>2688064</v>
      </c>
      <c r="Z17" s="54">
        <v>41132</v>
      </c>
      <c r="AA17" s="8">
        <f>Y17/X17</f>
        <v>77.599999999999994</v>
      </c>
      <c r="AB17" s="37">
        <f>X17*0.1</f>
        <v>3464</v>
      </c>
      <c r="AC17" s="38">
        <f>AB17*20828</f>
        <v>72148192</v>
      </c>
      <c r="AD17" s="38" t="s">
        <v>192</v>
      </c>
      <c r="AE17" s="39">
        <f>38104/1.1</f>
        <v>34640</v>
      </c>
      <c r="AF17" s="40">
        <v>3638932</v>
      </c>
      <c r="AG17" s="40" t="s">
        <v>343</v>
      </c>
      <c r="AH17" s="39">
        <f>AF17/AE17</f>
        <v>105.05</v>
      </c>
      <c r="AI17" s="39">
        <f t="shared" ref="AI17" si="24">AE17*0.1</f>
        <v>3464</v>
      </c>
      <c r="AJ17" s="40">
        <f>AI17*21036</f>
        <v>72868704</v>
      </c>
      <c r="AK17" s="40" t="s">
        <v>348</v>
      </c>
      <c r="AL17" s="64">
        <f>24112/1.1</f>
        <v>21920</v>
      </c>
      <c r="AM17" s="65">
        <v>2228387</v>
      </c>
      <c r="AN17" s="156" t="s">
        <v>387</v>
      </c>
      <c r="AO17" s="61">
        <f>AM17/AL17</f>
        <v>101.65999087591241</v>
      </c>
      <c r="AP17" s="64">
        <f>AL17*0.1</f>
        <v>2192</v>
      </c>
      <c r="AQ17" s="65">
        <f>AP17*21246</f>
        <v>46571232</v>
      </c>
      <c r="AR17" s="65" t="s">
        <v>391</v>
      </c>
      <c r="AS17" s="37"/>
      <c r="AT17" s="38"/>
      <c r="AU17" s="38"/>
      <c r="AV17" s="8"/>
      <c r="AW17" s="37"/>
      <c r="AX17" s="38"/>
      <c r="AY17" s="38"/>
      <c r="AZ17" s="85"/>
      <c r="BA17" s="86"/>
      <c r="BB17" s="86"/>
      <c r="BC17" s="83"/>
      <c r="BD17" s="85"/>
      <c r="BE17" s="86"/>
      <c r="BF17" s="86"/>
      <c r="BG17" s="282"/>
      <c r="BH17" s="282"/>
      <c r="BI17" s="282"/>
      <c r="BJ17" s="282"/>
      <c r="BK17" s="282"/>
      <c r="BL17" s="282"/>
      <c r="BM17" s="282"/>
      <c r="BN17" s="41"/>
      <c r="BO17" s="127"/>
      <c r="BP17" s="41"/>
      <c r="BQ17" s="41"/>
      <c r="BR17" s="41"/>
      <c r="BS17" s="127"/>
      <c r="BT17" s="41"/>
      <c r="BU17" s="8">
        <f t="shared" ref="BU17" si="25">X17+AB17+AE17+AI17+AL17+AP17+AS17+AW17+AZ17+BD17+BN17+BR17</f>
        <v>100320</v>
      </c>
      <c r="BV17" s="263">
        <f>L17-(X17+AE17+BN17+AI17+AL17+AP17+AS17+AW17+AZ17+BD17+BR17+AB17)</f>
        <v>25960</v>
      </c>
      <c r="BW17" s="237"/>
      <c r="BX17" s="139" t="s">
        <v>397</v>
      </c>
      <c r="BY17" s="139" t="s">
        <v>320</v>
      </c>
      <c r="BZ17" s="29">
        <f>L17-X17-AE17-BN17-AL17-AS17-AZ17</f>
        <v>35080</v>
      </c>
      <c r="CA17" s="30">
        <f>V17/1.1-Y17-AF17-BO17-AM17-AT17-BA17</f>
        <v>-1720911.1818181826</v>
      </c>
      <c r="CB17" s="42"/>
      <c r="CC17" s="7" t="s">
        <v>293</v>
      </c>
    </row>
    <row r="18" spans="1:81" s="48" customFormat="1" ht="19.5" customHeight="1" x14ac:dyDescent="0.2">
      <c r="A18" s="359" t="s">
        <v>41</v>
      </c>
      <c r="B18" s="359"/>
      <c r="C18" s="359"/>
      <c r="D18" s="359"/>
      <c r="E18" s="359"/>
      <c r="F18" s="359"/>
      <c r="G18" s="359"/>
      <c r="H18" s="359"/>
      <c r="I18" s="359"/>
      <c r="J18" s="47">
        <f>J8+J9+J10+J16</f>
        <v>556243</v>
      </c>
      <c r="K18" s="47">
        <f>K8+K9+K10+K16</f>
        <v>214340</v>
      </c>
      <c r="L18" s="47">
        <f>L8+L9+L10+L16</f>
        <v>770583</v>
      </c>
      <c r="M18" s="47">
        <f>M8+M9+M10+M16</f>
        <v>225231</v>
      </c>
      <c r="N18" s="47">
        <f>N8+N9+N10+N16</f>
        <v>869534</v>
      </c>
      <c r="O18" s="47">
        <f>O8+O9+O10+O16</f>
        <v>0</v>
      </c>
      <c r="P18" s="47">
        <f>P8+P9+P10+P16</f>
        <v>869534</v>
      </c>
      <c r="Q18" s="47">
        <f>Q8+Q9+Q10+Q16</f>
        <v>0</v>
      </c>
      <c r="R18" s="47">
        <f>R8+R9+R10+R16</f>
        <v>0</v>
      </c>
      <c r="S18" s="47">
        <f>S8+S9+S10+S16</f>
        <v>0</v>
      </c>
      <c r="T18" s="47">
        <f>T8+T9+T10+T16</f>
        <v>0</v>
      </c>
      <c r="U18" s="248">
        <f>U8+U9+U10+U16</f>
        <v>995814</v>
      </c>
      <c r="V18" s="47">
        <f>V8+V9+V10+V16</f>
        <v>64686329.899999999</v>
      </c>
      <c r="W18" s="47">
        <f>W8+W9+W10+W16</f>
        <v>505.28698504817936</v>
      </c>
      <c r="X18" s="47">
        <f>X8+X9+X10+X16</f>
        <v>201554.53454545452</v>
      </c>
      <c r="Y18" s="47">
        <f>Y8+Y9+Y10+Y16</f>
        <v>16156277</v>
      </c>
      <c r="Z18" s="47">
        <f>Z8+Z9+Z10+Z16</f>
        <v>41132</v>
      </c>
      <c r="AA18" s="47">
        <f>AA8+AA9+AA10+AA16</f>
        <v>481.73255678432554</v>
      </c>
      <c r="AB18" s="47">
        <f>AB8+AB9+AB10+AB16</f>
        <v>20155.453454545455</v>
      </c>
      <c r="AC18" s="47">
        <f>AC8+AC9+AC10+AC16</f>
        <v>419797788.64218187</v>
      </c>
      <c r="AD18" s="47">
        <f>AD8+AD9+AD10+AD16</f>
        <v>0</v>
      </c>
      <c r="AE18" s="47">
        <f>AE8+AE9+AE10+AE16</f>
        <v>168356.36181818182</v>
      </c>
      <c r="AF18" s="47">
        <f>AF8+AF9+AF10+AF16</f>
        <v>15434844</v>
      </c>
      <c r="AG18" s="47">
        <f>AG8+AG9+AG10+AG16</f>
        <v>0</v>
      </c>
      <c r="AH18" s="47">
        <f>AH8+AH9+AH10+AH16</f>
        <v>549.28694263280818</v>
      </c>
      <c r="AI18" s="47">
        <f>AI8+AI9+AI10+AI16</f>
        <v>16835.636181818183</v>
      </c>
      <c r="AJ18" s="47">
        <f>AJ8+AJ9+AJ10+AJ16</f>
        <v>351373142.39490908</v>
      </c>
      <c r="AK18" s="47">
        <f>AK8+AK9+AK10+AK16</f>
        <v>0</v>
      </c>
      <c r="AL18" s="47">
        <f>AL8+AL9+AL10+AL16</f>
        <v>141349.46</v>
      </c>
      <c r="AM18" s="47">
        <f>AM8+AM9+AM10+AM16</f>
        <v>14395855</v>
      </c>
      <c r="AN18" s="47">
        <f>AN8+AN9+AN10+AN16</f>
        <v>0</v>
      </c>
      <c r="AO18" s="47">
        <f>AO8+AO9+AO10+AO16</f>
        <v>611.51858870463786</v>
      </c>
      <c r="AP18" s="47">
        <f>AP8+AP9+AP10+AP16</f>
        <v>14134.946</v>
      </c>
      <c r="AQ18" s="47">
        <f>AQ8+AQ9+AQ10+AQ16</f>
        <v>297803044.05599999</v>
      </c>
      <c r="AR18" s="47">
        <f>AR8+AR9+AR10+AR16</f>
        <v>0</v>
      </c>
      <c r="AS18" s="47">
        <f>AS8+AS9+AS10+AS16</f>
        <v>28144</v>
      </c>
      <c r="AT18" s="47">
        <f>AT8+AT9+AT10+AT16</f>
        <v>2882508</v>
      </c>
      <c r="AU18" s="47">
        <f>AU8+AU9+AU10+AU16</f>
        <v>0</v>
      </c>
      <c r="AV18" s="47">
        <f>AV8+AV9+AV10+AV16</f>
        <v>102.41998294485504</v>
      </c>
      <c r="AW18" s="47">
        <f>AW8+AW9+AW10+AW16</f>
        <v>2814.4</v>
      </c>
      <c r="AX18" s="47">
        <f>AX8+AX9+AX10+AX16</f>
        <v>59203718.399999999</v>
      </c>
      <c r="AY18" s="47">
        <f>AY8+AY9+AY10+AY16</f>
        <v>0</v>
      </c>
      <c r="AZ18" s="47">
        <f>AZ8+AZ9+AZ10+AZ16</f>
        <v>96699.999999999985</v>
      </c>
      <c r="BA18" s="47">
        <f>BA8+BA9+BA10+BA16</f>
        <v>9830522</v>
      </c>
      <c r="BB18" s="47">
        <f>BB8+BB9+BB10+BB16</f>
        <v>0</v>
      </c>
      <c r="BC18" s="47">
        <f>BC8+BC9+BC10+BC16</f>
        <v>101.66000000000001</v>
      </c>
      <c r="BD18" s="47">
        <f>BD8+BD9+BD10+BD16</f>
        <v>9669.9999999999982</v>
      </c>
      <c r="BE18" s="47">
        <f>BE8+BE9+BE10+BE16</f>
        <v>205448819.99999997</v>
      </c>
      <c r="BF18" s="47">
        <f>BF8+BF9+BF10+BF16</f>
        <v>0</v>
      </c>
      <c r="BG18" s="47">
        <f>BG8+BG9+BG10+BG16</f>
        <v>48349.63636363636</v>
      </c>
      <c r="BH18" s="47">
        <f>BH8+BH9+BH10+BH16</f>
        <v>5286550</v>
      </c>
      <c r="BI18" s="47">
        <f>BI8+BI9+BI10+BI16</f>
        <v>0</v>
      </c>
      <c r="BJ18" s="47">
        <f>BJ8+BJ9+BJ10+BJ16</f>
        <v>109.34001571883591</v>
      </c>
      <c r="BK18" s="47">
        <f>BK8+BK9+BK10+BK16</f>
        <v>4834.9636363636364</v>
      </c>
      <c r="BL18" s="47">
        <f>BL8+BL9+BL10+BL16</f>
        <v>102723637.41818182</v>
      </c>
      <c r="BM18" s="47">
        <f>BM8+BM9+BM10+BM16</f>
        <v>0</v>
      </c>
      <c r="BN18" s="47">
        <f>BN8+BN9+BN10+BN16</f>
        <v>0</v>
      </c>
      <c r="BO18" s="47">
        <f>BO8+BO9+BO10+BO16</f>
        <v>0</v>
      </c>
      <c r="BP18" s="47">
        <f>BP8+BP9+BP10+BP16</f>
        <v>0</v>
      </c>
      <c r="BQ18" s="47"/>
      <c r="BR18" s="47">
        <f>BR8+BR9+BR10+BR16</f>
        <v>0</v>
      </c>
      <c r="BS18" s="47">
        <f>BS8+BS9+BS10+BS16</f>
        <v>0</v>
      </c>
      <c r="BT18" s="47">
        <f>BT8+BT9+BT10+BT16</f>
        <v>0</v>
      </c>
      <c r="BU18" s="291">
        <f>BU8+BU9+BU10+BU16</f>
        <v>752899.39199999988</v>
      </c>
      <c r="BV18" s="291">
        <f>BV8+BV9+BV10+BV16</f>
        <v>242914.60800000001</v>
      </c>
      <c r="BW18" s="240"/>
      <c r="BX18" s="141"/>
      <c r="BY18" s="176"/>
      <c r="BZ18" s="222">
        <f>L18-X18-AE18-BN18-AL18-AS18-AZ18</f>
        <v>134478.64363636367</v>
      </c>
      <c r="CA18" s="47">
        <f>CA8+CA9+CA10+CA16</f>
        <v>-2056760.1818181826</v>
      </c>
      <c r="CB18" s="47" t="e">
        <f>CB8+CB9+CB10+CB16</f>
        <v>#REF!</v>
      </c>
      <c r="CC18" s="47" t="e">
        <f>CC8+CC9+CC10+CC16</f>
        <v>#REF!</v>
      </c>
    </row>
    <row r="19" spans="1:81" s="207" customFormat="1" ht="17.100000000000001" customHeight="1" x14ac:dyDescent="0.25">
      <c r="A19" s="206"/>
      <c r="B19" s="206"/>
      <c r="D19" s="208" t="s">
        <v>297</v>
      </c>
      <c r="E19" s="208"/>
      <c r="F19" s="208"/>
      <c r="I19" s="209" t="s">
        <v>240</v>
      </c>
      <c r="J19" s="210"/>
      <c r="K19" s="210"/>
      <c r="L19" s="210"/>
      <c r="M19" s="210"/>
      <c r="N19" s="210"/>
      <c r="O19" s="210"/>
      <c r="P19" s="210"/>
      <c r="Q19" s="210"/>
      <c r="R19" s="210"/>
      <c r="S19" s="210"/>
      <c r="T19" s="210">
        <f>J18+K18+M18+O18+Q18+S18</f>
        <v>995814</v>
      </c>
      <c r="U19" s="210"/>
      <c r="V19" s="210"/>
      <c r="W19" s="211"/>
      <c r="X19" s="211"/>
      <c r="Y19" s="210"/>
      <c r="Z19" s="212"/>
      <c r="AA19" s="211"/>
      <c r="AB19" s="211"/>
      <c r="AC19" s="210"/>
      <c r="AD19" s="210"/>
      <c r="AE19" s="211"/>
      <c r="AF19" s="210"/>
      <c r="AG19" s="210"/>
      <c r="AH19" s="211"/>
      <c r="AI19" s="211"/>
      <c r="AJ19" s="210"/>
      <c r="AK19" s="210"/>
      <c r="AL19" s="211"/>
      <c r="AM19" s="210"/>
      <c r="AN19" s="210"/>
      <c r="AO19" s="211"/>
      <c r="AP19" s="211"/>
      <c r="AQ19" s="210"/>
      <c r="AR19" s="210"/>
      <c r="AS19" s="211"/>
      <c r="AT19" s="210"/>
      <c r="AU19" s="210"/>
      <c r="AV19" s="211"/>
      <c r="AW19" s="211"/>
      <c r="AX19" s="210"/>
      <c r="AY19" s="210"/>
      <c r="AZ19" s="211"/>
      <c r="BA19" s="210"/>
      <c r="BB19" s="210"/>
      <c r="BC19" s="211"/>
      <c r="BD19" s="211"/>
      <c r="BE19" s="210"/>
      <c r="BF19" s="210"/>
      <c r="BG19" s="210"/>
      <c r="BH19" s="210"/>
      <c r="BI19" s="210"/>
      <c r="BJ19" s="210"/>
      <c r="BK19" s="210"/>
      <c r="BL19" s="210"/>
      <c r="BM19" s="210"/>
      <c r="BN19" s="211"/>
      <c r="BO19" s="210"/>
      <c r="BP19" s="211"/>
      <c r="BQ19" s="211"/>
      <c r="BR19" s="211" t="s">
        <v>297</v>
      </c>
      <c r="BS19" s="210"/>
      <c r="BT19" s="211"/>
      <c r="BU19" s="210">
        <f>U18-BU18</f>
        <v>242914.60800000012</v>
      </c>
      <c r="BV19" s="215">
        <f>T19-X18-AB18-AE18-AI18-AL18-AP18-AS18-AW18-AZ18-BD18-BN18-BR18-BG18-BK18</f>
        <v>242914.60800000001</v>
      </c>
      <c r="BW19" s="215"/>
      <c r="BX19" s="213"/>
      <c r="BY19" s="214"/>
      <c r="BZ19" s="213"/>
      <c r="CA19" s="215"/>
    </row>
    <row r="20" spans="1:81" s="162" customFormat="1" ht="20.100000000000001" customHeight="1" x14ac:dyDescent="0.2">
      <c r="A20" s="265"/>
      <c r="B20" s="265"/>
      <c r="C20" s="266"/>
      <c r="D20" s="267"/>
      <c r="E20" s="267"/>
      <c r="F20" s="267"/>
      <c r="G20" s="266"/>
      <c r="H20" s="266"/>
      <c r="I20" s="268"/>
      <c r="J20" s="269"/>
      <c r="K20" s="269"/>
      <c r="L20" s="269"/>
      <c r="M20" s="269"/>
      <c r="N20" s="269"/>
      <c r="O20" s="269"/>
      <c r="P20" s="269"/>
      <c r="Q20" s="269"/>
      <c r="R20" s="269"/>
      <c r="S20" s="269"/>
      <c r="T20" s="269"/>
      <c r="U20" s="269"/>
      <c r="V20" s="269"/>
      <c r="W20" s="269"/>
      <c r="X20" s="269"/>
      <c r="Y20" s="269"/>
      <c r="Z20" s="269"/>
      <c r="AA20" s="269"/>
      <c r="AB20" s="269"/>
      <c r="AC20" s="269"/>
      <c r="AD20" s="269"/>
      <c r="AE20" s="269"/>
      <c r="AF20" s="269"/>
      <c r="AG20" s="269"/>
      <c r="AH20" s="269"/>
      <c r="AI20" s="269"/>
      <c r="AJ20" s="269"/>
      <c r="AK20" s="269"/>
      <c r="AL20" s="269"/>
      <c r="AM20" s="269"/>
      <c r="AN20" s="269"/>
      <c r="AO20" s="269"/>
      <c r="AP20" s="269"/>
      <c r="AQ20" s="269"/>
      <c r="AR20" s="269"/>
      <c r="AS20" s="269"/>
      <c r="AT20" s="269"/>
      <c r="AU20" s="269"/>
      <c r="AV20" s="269"/>
      <c r="AW20" s="269"/>
      <c r="AX20" s="269"/>
      <c r="AY20" s="269"/>
      <c r="AZ20" s="269"/>
      <c r="BA20" s="269"/>
      <c r="BB20" s="269"/>
      <c r="BC20" s="269"/>
      <c r="BD20" s="269"/>
      <c r="BE20" s="269"/>
      <c r="BF20" s="269"/>
      <c r="BG20" s="269"/>
      <c r="BH20" s="269"/>
      <c r="BI20" s="269"/>
      <c r="BJ20" s="269"/>
      <c r="BK20" s="269"/>
      <c r="BL20" s="269"/>
      <c r="BM20" s="269"/>
      <c r="BN20" s="269"/>
      <c r="BO20" s="269"/>
      <c r="BP20" s="269"/>
      <c r="BQ20" s="269"/>
      <c r="BR20" s="269"/>
      <c r="BS20" s="269"/>
      <c r="BT20" s="269"/>
      <c r="BU20" s="269"/>
      <c r="BV20" s="269"/>
      <c r="BW20" s="269"/>
      <c r="BX20" s="270"/>
      <c r="BY20" s="270"/>
      <c r="BZ20" s="172"/>
      <c r="CA20" s="173"/>
    </row>
  </sheetData>
  <autoFilter ref="A4:CC19">
    <filterColumn colId="9" showButton="0"/>
    <filterColumn colId="10" hiddenButton="1" showButton="0"/>
    <filterColumn colId="11" hiddenButton="1" showButton="0"/>
    <filterColumn colId="12" hiddenButton="1" showButton="0"/>
    <filterColumn colId="13" hiddenButton="1" showButton="0"/>
    <filterColumn colId="14" hiddenButton="1" showButton="0"/>
    <filterColumn colId="15" hiddenButton="1" showButton="0"/>
    <filterColumn colId="16" hiddenButton="1" showButton="0"/>
    <filterColumn colId="17" hiddenButton="1" showButton="0"/>
    <filterColumn colId="18" hiddenButton="1" showButton="0"/>
    <filterColumn colId="19" hiddenButton="1" showButton="0"/>
    <filterColumn colId="20" hiddenButton="1" showButton="0"/>
    <filterColumn colId="23" showButton="0"/>
    <filterColumn colId="24" showButton="0"/>
    <filterColumn colId="25" hiddenButton="1" showButton="0"/>
    <filterColumn colId="26" showButton="0"/>
    <filterColumn colId="27" showButton="0"/>
    <filterColumn colId="28" showButton="0"/>
    <filterColumn colId="29" hiddenButton="1" showButton="0"/>
    <filterColumn colId="30" showButton="0"/>
    <filterColumn colId="31" showButton="0"/>
    <filterColumn colId="32" hiddenButton="1" showButton="0"/>
    <filterColumn colId="33" showButton="0"/>
    <filterColumn colId="34" showButton="0"/>
    <filterColumn colId="35" showButton="0"/>
    <filterColumn colId="36" hiddenButton="1" showButton="0"/>
    <filterColumn colId="37" hiddenButton="1" showButton="0"/>
    <filterColumn colId="38" hiddenButton="1" showButton="0"/>
    <filterColumn colId="39" hiddenButton="1" showButton="0"/>
    <filterColumn colId="40" hiddenButton="1" showButton="0"/>
    <filterColumn colId="41" hiddenButton="1" showButton="0"/>
    <filterColumn colId="42" hiddenButton="1" showButton="0"/>
    <filterColumn colId="43" hiddenButton="1" showButton="0"/>
    <filterColumn colId="44" hiddenButton="1" showButton="0"/>
    <filterColumn colId="45" hiddenButton="1" showButton="0"/>
    <filterColumn colId="46" hiddenButton="1" showButton="0"/>
    <filterColumn colId="47" hiddenButton="1" showButton="0"/>
    <filterColumn colId="48" hiddenButton="1" showButton="0"/>
    <filterColumn colId="49" hiddenButton="1" showButton="0"/>
    <filterColumn colId="50" hiddenButton="1" showButton="0"/>
    <filterColumn colId="51" hiddenButton="1" showButton="0"/>
    <filterColumn colId="52" hiddenButton="1" showButton="0"/>
    <filterColumn colId="53" hiddenButton="1" showButton="0"/>
    <filterColumn colId="54" hiddenButton="1" showButton="0"/>
    <filterColumn colId="55" hiddenButton="1" showButton="0"/>
    <filterColumn colId="56" hiddenButton="1" showButton="0"/>
    <filterColumn colId="57" hiddenButton="1" showButton="0"/>
    <filterColumn colId="58" hiddenButton="1" showButton="0"/>
    <filterColumn colId="59" hiddenButton="1" showButton="0"/>
    <filterColumn colId="60" hiddenButton="1" showButton="0"/>
    <filterColumn colId="61" hiddenButton="1" showButton="0"/>
    <filterColumn colId="62" hiddenButton="1" showButton="0"/>
    <filterColumn colId="63" hiddenButton="1" showButton="0"/>
    <filterColumn colId="64" hiddenButton="1" showButton="0"/>
    <filterColumn colId="65" showButton="0"/>
    <filterColumn colId="66" showButton="0"/>
    <filterColumn colId="67" hiddenButton="1" showButton="0"/>
    <filterColumn colId="68" hiddenButton="1" showButton="0"/>
    <filterColumn colId="69" showButton="0"/>
  </autoFilter>
  <mergeCells count="43">
    <mergeCell ref="A8:I8"/>
    <mergeCell ref="A9:I9"/>
    <mergeCell ref="A10:I10"/>
    <mergeCell ref="A16:I16"/>
    <mergeCell ref="A18:I18"/>
    <mergeCell ref="A7:CB7"/>
    <mergeCell ref="Q5:R5"/>
    <mergeCell ref="S5:T5"/>
    <mergeCell ref="U5:U6"/>
    <mergeCell ref="V5:V6"/>
    <mergeCell ref="X5:AD5"/>
    <mergeCell ref="AE5:AK5"/>
    <mergeCell ref="BX4:BX6"/>
    <mergeCell ref="BY4:BY6"/>
    <mergeCell ref="BZ4:BZ6"/>
    <mergeCell ref="CA4:CA6"/>
    <mergeCell ref="CB4:CB6"/>
    <mergeCell ref="AL5:AR5"/>
    <mergeCell ref="AS5:AY5"/>
    <mergeCell ref="AZ5:BF5"/>
    <mergeCell ref="BG5:BM5"/>
    <mergeCell ref="CC4:CC6"/>
    <mergeCell ref="J4:V4"/>
    <mergeCell ref="W4:W6"/>
    <mergeCell ref="X4:BT4"/>
    <mergeCell ref="BU4:BU6"/>
    <mergeCell ref="BV4:BV6"/>
    <mergeCell ref="BW4:BW6"/>
    <mergeCell ref="J5:J6"/>
    <mergeCell ref="K5:L5"/>
    <mergeCell ref="M5:N5"/>
    <mergeCell ref="O5:P5"/>
    <mergeCell ref="BN5:BT5"/>
    <mergeCell ref="A2:CB2"/>
    <mergeCell ref="A4:A6"/>
    <mergeCell ref="B4:B6"/>
    <mergeCell ref="C4:C6"/>
    <mergeCell ref="D4:D6"/>
    <mergeCell ref="E4:E6"/>
    <mergeCell ref="F4:F6"/>
    <mergeCell ref="G4:G6"/>
    <mergeCell ref="H4:H6"/>
    <mergeCell ref="I4:I6"/>
  </mergeCells>
  <pageMargins left="0.15748031496062992" right="0.15748031496062992" top="0.15748031496062992" bottom="0.35433070866141736" header="0.19685039370078741" footer="0.31496062992125984"/>
  <pageSetup paperSize="8" scale="5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CT114"/>
  <sheetViews>
    <sheetView zoomScale="80" zoomScaleNormal="80" workbookViewId="0">
      <pane xSplit="10350" ySplit="2310" topLeftCell="BD55" activePane="bottomRight"/>
      <selection activeCell="BN43" sqref="BN43"/>
      <selection pane="topRight" activeCell="BS1" sqref="BS1:BT1048576"/>
      <selection pane="bottomLeft" activeCell="A51" sqref="A51:XFD51"/>
      <selection pane="bottomRight" activeCell="CE80" sqref="CE80"/>
    </sheetView>
  </sheetViews>
  <sheetFormatPr defaultRowHeight="20.100000000000001" customHeight="1" x14ac:dyDescent="0.2"/>
  <cols>
    <col min="1" max="1" width="4.85546875" style="171" customWidth="1"/>
    <col min="2" max="2" width="12.7109375" style="171" customWidth="1"/>
    <col min="3" max="3" width="7.85546875" style="164" customWidth="1"/>
    <col min="4" max="4" width="40.28515625" style="163" customWidth="1"/>
    <col min="5" max="5" width="21.28515625" style="163" hidden="1" customWidth="1"/>
    <col min="6" max="6" width="18.42578125" style="163" hidden="1" customWidth="1"/>
    <col min="7" max="7" width="10.28515625" style="164" customWidth="1"/>
    <col min="8" max="8" width="14.28515625" style="164" hidden="1" customWidth="1"/>
    <col min="9" max="9" width="43" style="165" customWidth="1"/>
    <col min="10" max="10" width="12.42578125" style="166" customWidth="1"/>
    <col min="11" max="11" width="11.5703125" style="166" customWidth="1"/>
    <col min="12" max="12" width="11.7109375" style="166" customWidth="1"/>
    <col min="13" max="13" width="11" style="166" customWidth="1"/>
    <col min="14" max="14" width="11.5703125" style="166" customWidth="1"/>
    <col min="15" max="15" width="9.28515625" style="166" customWidth="1"/>
    <col min="16" max="16" width="12.85546875" style="166" customWidth="1"/>
    <col min="17" max="19" width="9.28515625" style="166" customWidth="1"/>
    <col min="20" max="20" width="12.7109375" style="166" customWidth="1"/>
    <col min="21" max="21" width="11.5703125" style="182" customWidth="1"/>
    <col min="22" max="22" width="13.140625" style="166" customWidth="1"/>
    <col min="23" max="23" width="8.28515625" style="167" customWidth="1"/>
    <col min="24" max="24" width="11.42578125" style="167" customWidth="1"/>
    <col min="25" max="25" width="13.28515625" style="166" hidden="1" customWidth="1"/>
    <col min="26" max="26" width="13" style="168" hidden="1" customWidth="1"/>
    <col min="27" max="27" width="10.85546875" style="167" hidden="1" customWidth="1"/>
    <col min="28" max="28" width="9.7109375" style="167" customWidth="1"/>
    <col min="29" max="29" width="20.140625" style="166" hidden="1" customWidth="1"/>
    <col min="30" max="30" width="13.140625" style="166" hidden="1" customWidth="1"/>
    <col min="31" max="31" width="11.5703125" style="167" customWidth="1"/>
    <col min="32" max="32" width="13.28515625" style="166" hidden="1" customWidth="1"/>
    <col min="33" max="33" width="11.42578125" style="166" hidden="1" customWidth="1"/>
    <col min="34" max="34" width="11.42578125" style="167" hidden="1" customWidth="1"/>
    <col min="35" max="35" width="11.42578125" style="167" customWidth="1"/>
    <col min="36" max="36" width="18" style="166" hidden="1" customWidth="1"/>
    <col min="37" max="37" width="15.28515625" style="166" hidden="1" customWidth="1"/>
    <col min="38" max="38" width="11.5703125" style="167" customWidth="1"/>
    <col min="39" max="39" width="15.140625" style="166" hidden="1" customWidth="1"/>
    <col min="40" max="40" width="12.85546875" style="166" hidden="1" customWidth="1"/>
    <col min="41" max="41" width="11.42578125" style="167" hidden="1" customWidth="1"/>
    <col min="42" max="42" width="9.5703125" style="167" customWidth="1"/>
    <col min="43" max="43" width="15.28515625" style="166" hidden="1" customWidth="1"/>
    <col min="44" max="44" width="14.85546875" style="166" hidden="1" customWidth="1"/>
    <col min="45" max="45" width="10.42578125" style="167" customWidth="1"/>
    <col min="46" max="46" width="14.42578125" style="166" hidden="1" customWidth="1"/>
    <col min="47" max="47" width="11.42578125" style="166" hidden="1" customWidth="1"/>
    <col min="48" max="48" width="11.42578125" style="167" hidden="1" customWidth="1"/>
    <col min="49" max="49" width="10.140625" style="167" customWidth="1"/>
    <col min="50" max="50" width="15.28515625" style="166" hidden="1" customWidth="1"/>
    <col min="51" max="51" width="16" style="166" hidden="1" customWidth="1"/>
    <col min="52" max="52" width="10.42578125" style="167" customWidth="1"/>
    <col min="53" max="53" width="14.140625" style="166" hidden="1" customWidth="1"/>
    <col min="54" max="54" width="11.42578125" style="166" hidden="1" customWidth="1"/>
    <col min="55" max="55" width="11.42578125" style="167" hidden="1" customWidth="1"/>
    <col min="56" max="56" width="9.85546875" style="167" customWidth="1"/>
    <col min="57" max="57" width="16" style="166" hidden="1" customWidth="1"/>
    <col min="58" max="58" width="15.85546875" style="166" hidden="1" customWidth="1"/>
    <col min="59" max="59" width="15.85546875" style="166" customWidth="1"/>
    <col min="60" max="62" width="15.85546875" style="166" hidden="1" customWidth="1"/>
    <col min="63" max="63" width="15.85546875" style="166" customWidth="1"/>
    <col min="64" max="65" width="15.85546875" style="166" hidden="1" customWidth="1"/>
    <col min="66" max="66" width="13" style="167" customWidth="1"/>
    <col min="67" max="67" width="13.7109375" style="166" hidden="1" customWidth="1"/>
    <col min="68" max="68" width="11.42578125" style="167" hidden="1" customWidth="1"/>
    <col min="69" max="69" width="9.140625" style="167" hidden="1" customWidth="1"/>
    <col min="70" max="70" width="9.5703125" style="167" customWidth="1"/>
    <col min="71" max="71" width="15.85546875" style="166" hidden="1" customWidth="1"/>
    <col min="72" max="72" width="15.85546875" style="167" hidden="1" customWidth="1"/>
    <col min="73" max="73" width="12.42578125" style="167" customWidth="1"/>
    <col min="74" max="74" width="12.140625" style="169" customWidth="1"/>
    <col min="75" max="75" width="12.140625" style="231" hidden="1" customWidth="1"/>
    <col min="76" max="76" width="30.85546875" style="169" customWidth="1"/>
    <col min="77" max="77" width="15.42578125" style="169" customWidth="1"/>
    <col min="78" max="78" width="15.42578125" style="169" hidden="1" customWidth="1"/>
    <col min="79" max="79" width="15.42578125" style="170" hidden="1" customWidth="1"/>
    <col min="80" max="80" width="29.5703125" style="164" hidden="1" customWidth="1"/>
    <col min="81" max="81" width="15.42578125" style="164" hidden="1" customWidth="1"/>
    <col min="82" max="82" width="15.42578125" style="164" customWidth="1"/>
    <col min="83" max="85" width="9.140625" style="164" customWidth="1"/>
    <col min="86" max="16384" width="9.140625" style="164"/>
  </cols>
  <sheetData>
    <row r="1" spans="1:81" ht="20.100000000000001" customHeight="1" x14ac:dyDescent="0.2">
      <c r="A1" s="161" t="s">
        <v>40</v>
      </c>
      <c r="B1" s="161"/>
      <c r="C1" s="162"/>
      <c r="D1" s="161"/>
    </row>
    <row r="2" spans="1:81" ht="20.100000000000001" customHeight="1" x14ac:dyDescent="0.3">
      <c r="A2" s="296" t="s">
        <v>50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</row>
    <row r="3" spans="1:81" ht="20.100000000000001" customHeight="1" x14ac:dyDescent="0.2"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83">
        <f>U8-J8</f>
        <v>152126.08999999985</v>
      </c>
      <c r="V3" s="167"/>
      <c r="Y3" s="167"/>
      <c r="BA3" s="166" t="e">
        <f>BA9/AZ9</f>
        <v>#DIV/0!</v>
      </c>
      <c r="BV3" s="172"/>
      <c r="BW3" s="232"/>
      <c r="BX3" s="172" t="s">
        <v>406</v>
      </c>
      <c r="BY3" s="172"/>
      <c r="BZ3" s="172">
        <f>BZ25-BV25</f>
        <v>2715.5436363636363</v>
      </c>
      <c r="CA3" s="173"/>
      <c r="CB3" s="162"/>
      <c r="CC3" s="164" t="s">
        <v>262</v>
      </c>
    </row>
    <row r="4" spans="1:81" s="13" customFormat="1" ht="20.100000000000001" customHeight="1" x14ac:dyDescent="0.2">
      <c r="A4" s="297" t="s">
        <v>0</v>
      </c>
      <c r="B4" s="300"/>
      <c r="C4" s="302" t="s">
        <v>20</v>
      </c>
      <c r="D4" s="297" t="s">
        <v>21</v>
      </c>
      <c r="E4" s="297" t="s">
        <v>22</v>
      </c>
      <c r="F4" s="297" t="s">
        <v>23</v>
      </c>
      <c r="G4" s="302" t="s">
        <v>49</v>
      </c>
      <c r="H4" s="304" t="s">
        <v>42</v>
      </c>
      <c r="I4" s="297" t="s">
        <v>25</v>
      </c>
      <c r="J4" s="309" t="s">
        <v>235</v>
      </c>
      <c r="K4" s="310"/>
      <c r="L4" s="310"/>
      <c r="M4" s="310"/>
      <c r="N4" s="310"/>
      <c r="O4" s="310"/>
      <c r="P4" s="310"/>
      <c r="Q4" s="310"/>
      <c r="R4" s="310"/>
      <c r="S4" s="310"/>
      <c r="T4" s="310"/>
      <c r="U4" s="310"/>
      <c r="V4" s="311"/>
      <c r="W4" s="312" t="s">
        <v>92</v>
      </c>
      <c r="X4" s="315" t="s">
        <v>24</v>
      </c>
      <c r="Y4" s="316"/>
      <c r="Z4" s="316"/>
      <c r="AA4" s="316"/>
      <c r="AB4" s="316"/>
      <c r="AC4" s="316"/>
      <c r="AD4" s="316"/>
      <c r="AE4" s="316"/>
      <c r="AF4" s="316"/>
      <c r="AG4" s="316"/>
      <c r="AH4" s="316"/>
      <c r="AI4" s="316"/>
      <c r="AJ4" s="316"/>
      <c r="AK4" s="316"/>
      <c r="AL4" s="316"/>
      <c r="AM4" s="316"/>
      <c r="AN4" s="316"/>
      <c r="AO4" s="316"/>
      <c r="AP4" s="316"/>
      <c r="AQ4" s="316"/>
      <c r="AR4" s="316"/>
      <c r="AS4" s="316"/>
      <c r="AT4" s="316"/>
      <c r="AU4" s="316"/>
      <c r="AV4" s="316"/>
      <c r="AW4" s="316"/>
      <c r="AX4" s="316"/>
      <c r="AY4" s="316"/>
      <c r="AZ4" s="316"/>
      <c r="BA4" s="316"/>
      <c r="BB4" s="316"/>
      <c r="BC4" s="316"/>
      <c r="BD4" s="316"/>
      <c r="BE4" s="316"/>
      <c r="BF4" s="316"/>
      <c r="BG4" s="316"/>
      <c r="BH4" s="316"/>
      <c r="BI4" s="316"/>
      <c r="BJ4" s="316"/>
      <c r="BK4" s="316"/>
      <c r="BL4" s="316"/>
      <c r="BM4" s="316"/>
      <c r="BN4" s="316"/>
      <c r="BO4" s="316"/>
      <c r="BP4" s="316"/>
      <c r="BQ4" s="316"/>
      <c r="BR4" s="316"/>
      <c r="BS4" s="316"/>
      <c r="BT4" s="317"/>
      <c r="BU4" s="318" t="s">
        <v>354</v>
      </c>
      <c r="BV4" s="321" t="s">
        <v>328</v>
      </c>
      <c r="BW4" s="318" t="s">
        <v>361</v>
      </c>
      <c r="BX4" s="347" t="s">
        <v>299</v>
      </c>
      <c r="BY4" s="347" t="s">
        <v>319</v>
      </c>
      <c r="BZ4" s="350" t="s">
        <v>91</v>
      </c>
      <c r="CA4" s="353" t="s">
        <v>90</v>
      </c>
      <c r="CB4" s="297" t="s">
        <v>51</v>
      </c>
      <c r="CC4" s="306" t="s">
        <v>266</v>
      </c>
    </row>
    <row r="5" spans="1:81" s="13" customFormat="1" ht="20.100000000000001" customHeight="1" x14ac:dyDescent="0.2">
      <c r="A5" s="298"/>
      <c r="B5" s="301"/>
      <c r="C5" s="303"/>
      <c r="D5" s="298"/>
      <c r="E5" s="298"/>
      <c r="F5" s="298"/>
      <c r="G5" s="303"/>
      <c r="H5" s="305"/>
      <c r="I5" s="298"/>
      <c r="J5" s="327" t="s">
        <v>236</v>
      </c>
      <c r="K5" s="329" t="s">
        <v>242</v>
      </c>
      <c r="L5" s="330"/>
      <c r="M5" s="331" t="s">
        <v>237</v>
      </c>
      <c r="N5" s="332"/>
      <c r="O5" s="333" t="s">
        <v>238</v>
      </c>
      <c r="P5" s="334"/>
      <c r="Q5" s="337" t="s">
        <v>244</v>
      </c>
      <c r="R5" s="338"/>
      <c r="S5" s="333" t="s">
        <v>245</v>
      </c>
      <c r="T5" s="334"/>
      <c r="U5" s="339" t="s">
        <v>333</v>
      </c>
      <c r="V5" s="327" t="s">
        <v>68</v>
      </c>
      <c r="W5" s="313"/>
      <c r="X5" s="341" t="s">
        <v>353</v>
      </c>
      <c r="Y5" s="342"/>
      <c r="Z5" s="342"/>
      <c r="AA5" s="342"/>
      <c r="AB5" s="342"/>
      <c r="AC5" s="342"/>
      <c r="AD5" s="343"/>
      <c r="AE5" s="344" t="s">
        <v>185</v>
      </c>
      <c r="AF5" s="345"/>
      <c r="AG5" s="345"/>
      <c r="AH5" s="345"/>
      <c r="AI5" s="345"/>
      <c r="AJ5" s="345"/>
      <c r="AK5" s="346"/>
      <c r="AL5" s="344" t="s">
        <v>184</v>
      </c>
      <c r="AM5" s="345"/>
      <c r="AN5" s="345"/>
      <c r="AO5" s="345"/>
      <c r="AP5" s="345"/>
      <c r="AQ5" s="345"/>
      <c r="AR5" s="346"/>
      <c r="AS5" s="344" t="s">
        <v>233</v>
      </c>
      <c r="AT5" s="345"/>
      <c r="AU5" s="345"/>
      <c r="AV5" s="345"/>
      <c r="AW5" s="345"/>
      <c r="AX5" s="345"/>
      <c r="AY5" s="346"/>
      <c r="AZ5" s="344" t="s">
        <v>234</v>
      </c>
      <c r="BA5" s="345"/>
      <c r="BB5" s="345"/>
      <c r="BC5" s="345"/>
      <c r="BD5" s="345"/>
      <c r="BE5" s="345"/>
      <c r="BF5" s="346"/>
      <c r="BG5" s="344" t="s">
        <v>392</v>
      </c>
      <c r="BH5" s="345"/>
      <c r="BI5" s="345"/>
      <c r="BJ5" s="345"/>
      <c r="BK5" s="345"/>
      <c r="BL5" s="345"/>
      <c r="BM5" s="346"/>
      <c r="BN5" s="344" t="s">
        <v>351</v>
      </c>
      <c r="BO5" s="345"/>
      <c r="BP5" s="345"/>
      <c r="BQ5" s="345"/>
      <c r="BR5" s="345"/>
      <c r="BS5" s="345"/>
      <c r="BT5" s="346"/>
      <c r="BU5" s="319"/>
      <c r="BV5" s="322"/>
      <c r="BW5" s="319"/>
      <c r="BX5" s="348"/>
      <c r="BY5" s="348"/>
      <c r="BZ5" s="351"/>
      <c r="CA5" s="354"/>
      <c r="CB5" s="298"/>
      <c r="CC5" s="307"/>
    </row>
    <row r="6" spans="1:81" s="13" customFormat="1" ht="44.25" customHeight="1" x14ac:dyDescent="0.2">
      <c r="A6" s="299"/>
      <c r="B6" s="298"/>
      <c r="C6" s="299"/>
      <c r="D6" s="299"/>
      <c r="E6" s="299"/>
      <c r="F6" s="299"/>
      <c r="G6" s="299"/>
      <c r="H6" s="298"/>
      <c r="I6" s="299"/>
      <c r="J6" s="328"/>
      <c r="K6" s="90" t="s">
        <v>239</v>
      </c>
      <c r="L6" s="90" t="s">
        <v>240</v>
      </c>
      <c r="M6" s="93" t="s">
        <v>239</v>
      </c>
      <c r="N6" s="93" t="s">
        <v>240</v>
      </c>
      <c r="O6" s="97" t="s">
        <v>239</v>
      </c>
      <c r="P6" s="97" t="s">
        <v>240</v>
      </c>
      <c r="Q6" s="102" t="s">
        <v>239</v>
      </c>
      <c r="R6" s="102" t="s">
        <v>240</v>
      </c>
      <c r="S6" s="97" t="s">
        <v>239</v>
      </c>
      <c r="T6" s="97" t="s">
        <v>240</v>
      </c>
      <c r="U6" s="340"/>
      <c r="V6" s="328"/>
      <c r="W6" s="314"/>
      <c r="X6" s="23" t="s">
        <v>73</v>
      </c>
      <c r="Y6" s="24" t="s">
        <v>67</v>
      </c>
      <c r="Z6" s="52" t="s">
        <v>147</v>
      </c>
      <c r="AA6" s="23" t="s">
        <v>92</v>
      </c>
      <c r="AB6" s="23" t="s">
        <v>72</v>
      </c>
      <c r="AC6" s="24" t="s">
        <v>69</v>
      </c>
      <c r="AD6" s="24" t="s">
        <v>148</v>
      </c>
      <c r="AE6" s="25" t="s">
        <v>70</v>
      </c>
      <c r="AF6" s="26" t="s">
        <v>71</v>
      </c>
      <c r="AG6" s="26" t="s">
        <v>147</v>
      </c>
      <c r="AH6" s="25" t="s">
        <v>92</v>
      </c>
      <c r="AI6" s="25" t="s">
        <v>72</v>
      </c>
      <c r="AJ6" s="26" t="s">
        <v>69</v>
      </c>
      <c r="AK6" s="26" t="s">
        <v>148</v>
      </c>
      <c r="AL6" s="25" t="s">
        <v>70</v>
      </c>
      <c r="AM6" s="26" t="s">
        <v>71</v>
      </c>
      <c r="AN6" s="26" t="s">
        <v>147</v>
      </c>
      <c r="AO6" s="25" t="s">
        <v>92</v>
      </c>
      <c r="AP6" s="25" t="s">
        <v>72</v>
      </c>
      <c r="AQ6" s="26" t="s">
        <v>69</v>
      </c>
      <c r="AR6" s="26" t="s">
        <v>148</v>
      </c>
      <c r="AS6" s="25" t="s">
        <v>70</v>
      </c>
      <c r="AT6" s="26" t="s">
        <v>71</v>
      </c>
      <c r="AU6" s="26" t="s">
        <v>147</v>
      </c>
      <c r="AV6" s="25" t="s">
        <v>92</v>
      </c>
      <c r="AW6" s="25" t="s">
        <v>72</v>
      </c>
      <c r="AX6" s="26" t="s">
        <v>69</v>
      </c>
      <c r="AY6" s="26" t="s">
        <v>148</v>
      </c>
      <c r="AZ6" s="25" t="s">
        <v>70</v>
      </c>
      <c r="BA6" s="26" t="s">
        <v>71</v>
      </c>
      <c r="BB6" s="26" t="s">
        <v>147</v>
      </c>
      <c r="BC6" s="25" t="s">
        <v>92</v>
      </c>
      <c r="BD6" s="25" t="s">
        <v>72</v>
      </c>
      <c r="BE6" s="26" t="s">
        <v>69</v>
      </c>
      <c r="BF6" s="26" t="s">
        <v>148</v>
      </c>
      <c r="BG6" s="25" t="s">
        <v>70</v>
      </c>
      <c r="BH6" s="26" t="s">
        <v>71</v>
      </c>
      <c r="BI6" s="25" t="s">
        <v>147</v>
      </c>
      <c r="BJ6" s="25" t="s">
        <v>92</v>
      </c>
      <c r="BK6" s="25" t="s">
        <v>72</v>
      </c>
      <c r="BL6" s="26" t="s">
        <v>69</v>
      </c>
      <c r="BM6" s="25" t="s">
        <v>148</v>
      </c>
      <c r="BN6" s="25" t="s">
        <v>70</v>
      </c>
      <c r="BO6" s="26" t="s">
        <v>71</v>
      </c>
      <c r="BP6" s="25" t="s">
        <v>147</v>
      </c>
      <c r="BQ6" s="25" t="s">
        <v>92</v>
      </c>
      <c r="BR6" s="25" t="s">
        <v>72</v>
      </c>
      <c r="BS6" s="26" t="s">
        <v>69</v>
      </c>
      <c r="BT6" s="25" t="s">
        <v>148</v>
      </c>
      <c r="BU6" s="320"/>
      <c r="BV6" s="323"/>
      <c r="BW6" s="320"/>
      <c r="BX6" s="349"/>
      <c r="BY6" s="349"/>
      <c r="BZ6" s="352"/>
      <c r="CA6" s="355"/>
      <c r="CB6" s="299"/>
      <c r="CC6" s="308"/>
    </row>
    <row r="7" spans="1:81" s="13" customFormat="1" ht="17.100000000000001" customHeight="1" x14ac:dyDescent="0.2">
      <c r="A7" s="335" t="s">
        <v>126</v>
      </c>
      <c r="B7" s="335"/>
      <c r="C7" s="335"/>
      <c r="D7" s="335"/>
      <c r="E7" s="335"/>
      <c r="F7" s="335"/>
      <c r="G7" s="335"/>
      <c r="H7" s="335"/>
      <c r="I7" s="335"/>
      <c r="J7" s="336"/>
      <c r="K7" s="335"/>
      <c r="L7" s="335"/>
      <c r="M7" s="335"/>
      <c r="N7" s="335"/>
      <c r="O7" s="335"/>
      <c r="P7" s="335"/>
      <c r="Q7" s="336"/>
      <c r="R7" s="336"/>
      <c r="S7" s="336"/>
      <c r="T7" s="336"/>
      <c r="U7" s="336"/>
      <c r="V7" s="336"/>
      <c r="W7" s="335"/>
      <c r="X7" s="335"/>
      <c r="Y7" s="335"/>
      <c r="Z7" s="335"/>
      <c r="AA7" s="335"/>
      <c r="AB7" s="335"/>
      <c r="AC7" s="335"/>
      <c r="AD7" s="335"/>
      <c r="AE7" s="335"/>
      <c r="AF7" s="335"/>
      <c r="AG7" s="335"/>
      <c r="AH7" s="335"/>
      <c r="AI7" s="335"/>
      <c r="AJ7" s="335"/>
      <c r="AK7" s="335"/>
      <c r="AL7" s="335"/>
      <c r="AM7" s="335"/>
      <c r="AN7" s="335"/>
      <c r="AO7" s="335"/>
      <c r="AP7" s="335"/>
      <c r="AQ7" s="335"/>
      <c r="AR7" s="335"/>
      <c r="AS7" s="335"/>
      <c r="AT7" s="335"/>
      <c r="AU7" s="335"/>
      <c r="AV7" s="335"/>
      <c r="AW7" s="335"/>
      <c r="AX7" s="335"/>
      <c r="AY7" s="335"/>
      <c r="AZ7" s="335"/>
      <c r="BA7" s="335"/>
      <c r="BB7" s="335"/>
      <c r="BC7" s="335"/>
      <c r="BD7" s="335"/>
      <c r="BE7" s="335"/>
      <c r="BF7" s="335"/>
      <c r="BG7" s="335"/>
      <c r="BH7" s="335"/>
      <c r="BI7" s="335"/>
      <c r="BJ7" s="335"/>
      <c r="BK7" s="335"/>
      <c r="BL7" s="335"/>
      <c r="BM7" s="335"/>
      <c r="BN7" s="335"/>
      <c r="BO7" s="335"/>
      <c r="BP7" s="335"/>
      <c r="BQ7" s="335"/>
      <c r="BR7" s="335"/>
      <c r="BS7" s="335"/>
      <c r="BT7" s="335"/>
      <c r="BU7" s="335"/>
      <c r="BV7" s="335"/>
      <c r="BW7" s="335"/>
      <c r="BX7" s="335"/>
      <c r="BY7" s="335"/>
      <c r="BZ7" s="335"/>
      <c r="CA7" s="335"/>
      <c r="CB7" s="335"/>
      <c r="CC7" s="27"/>
    </row>
    <row r="8" spans="1:81" s="13" customFormat="1" ht="16.5" customHeight="1" x14ac:dyDescent="0.2">
      <c r="A8" s="356" t="s">
        <v>203</v>
      </c>
      <c r="B8" s="357"/>
      <c r="C8" s="357"/>
      <c r="D8" s="357"/>
      <c r="E8" s="357"/>
      <c r="F8" s="357"/>
      <c r="G8" s="357"/>
      <c r="H8" s="357"/>
      <c r="I8" s="358"/>
      <c r="J8" s="51">
        <f>SUM(J9:J23)</f>
        <v>1102185</v>
      </c>
      <c r="K8" s="51">
        <f>SUM(K9:K23)</f>
        <v>6147.9</v>
      </c>
      <c r="L8" s="51">
        <f>J8+K8</f>
        <v>1108332.8999999999</v>
      </c>
      <c r="M8" s="51">
        <f>SUM(M9:M23)</f>
        <v>101706</v>
      </c>
      <c r="N8" s="51">
        <f>L8+M8</f>
        <v>1210038.8999999999</v>
      </c>
      <c r="O8" s="51">
        <f>SUM(O9:O23)</f>
        <v>34065</v>
      </c>
      <c r="P8" s="51">
        <f>N8+O8</f>
        <v>1244103.8999999999</v>
      </c>
      <c r="Q8" s="51">
        <f>SUM(Q9:Q23)</f>
        <v>5938.9</v>
      </c>
      <c r="R8" s="51">
        <f>P8+Q8</f>
        <v>1250042.7999999998</v>
      </c>
      <c r="S8" s="51">
        <f>SUM(S9:S23)</f>
        <v>4268.29</v>
      </c>
      <c r="T8" s="51">
        <f>R8+S8</f>
        <v>1254311.0899999999</v>
      </c>
      <c r="U8" s="51">
        <f>SUM(U9:U23)</f>
        <v>1254311.0899999999</v>
      </c>
      <c r="V8" s="51">
        <f>SUM(V9:V23)</f>
        <v>92317167.700000003</v>
      </c>
      <c r="W8" s="51">
        <f t="shared" ref="W8:CB8" si="0">SUM(W9:W23)</f>
        <v>764.01238288153365</v>
      </c>
      <c r="X8" s="51">
        <f t="shared" si="0"/>
        <v>500785.75818181818</v>
      </c>
      <c r="Y8" s="51">
        <f t="shared" si="0"/>
        <v>38978373.454545453</v>
      </c>
      <c r="Z8" s="51">
        <f t="shared" si="0"/>
        <v>41223</v>
      </c>
      <c r="AA8" s="51">
        <f t="shared" si="0"/>
        <v>803.77599472706686</v>
      </c>
      <c r="AB8" s="51">
        <f t="shared" si="0"/>
        <v>6932.7758181818181</v>
      </c>
      <c r="AC8" s="51">
        <f t="shared" si="0"/>
        <v>144704995.78109092</v>
      </c>
      <c r="AD8" s="51">
        <f t="shared" si="0"/>
        <v>0</v>
      </c>
      <c r="AE8" s="51">
        <f t="shared" si="0"/>
        <v>417506.84090909088</v>
      </c>
      <c r="AF8" s="51">
        <f t="shared" si="0"/>
        <v>33307935.614545453</v>
      </c>
      <c r="AG8" s="51">
        <f t="shared" si="0"/>
        <v>0</v>
      </c>
      <c r="AH8" s="51">
        <f t="shared" si="0"/>
        <v>765.73734854165752</v>
      </c>
      <c r="AI8" s="51">
        <f t="shared" si="0"/>
        <v>34974.664090909093</v>
      </c>
      <c r="AJ8" s="51">
        <f t="shared" si="0"/>
        <v>771728623.0363636</v>
      </c>
      <c r="AK8" s="51">
        <f t="shared" si="0"/>
        <v>0</v>
      </c>
      <c r="AL8" s="51">
        <f t="shared" si="0"/>
        <v>195115.09090909088</v>
      </c>
      <c r="AM8" s="51">
        <f t="shared" si="0"/>
        <v>19218309.607272726</v>
      </c>
      <c r="AN8" s="51">
        <f t="shared" si="0"/>
        <v>0</v>
      </c>
      <c r="AO8" s="51">
        <f t="shared" si="0"/>
        <v>492.64001291596912</v>
      </c>
      <c r="AP8" s="51">
        <f t="shared" si="0"/>
        <v>19511.50909090909</v>
      </c>
      <c r="AQ8" s="51">
        <f t="shared" si="0"/>
        <v>410444099.52727276</v>
      </c>
      <c r="AR8" s="51">
        <f t="shared" si="0"/>
        <v>0</v>
      </c>
      <c r="AS8" s="51">
        <f t="shared" si="0"/>
        <v>7967.272727272727</v>
      </c>
      <c r="AT8" s="51">
        <f t="shared" si="0"/>
        <v>778774</v>
      </c>
      <c r="AU8" s="51">
        <f t="shared" si="0"/>
        <v>0</v>
      </c>
      <c r="AV8" s="51">
        <f t="shared" si="0"/>
        <v>97.746622546782291</v>
      </c>
      <c r="AW8" s="51">
        <f t="shared" si="0"/>
        <v>796.72727272727275</v>
      </c>
      <c r="AX8" s="51">
        <f t="shared" si="0"/>
        <v>16759954.90909091</v>
      </c>
      <c r="AY8" s="51">
        <f t="shared" si="0"/>
        <v>0</v>
      </c>
      <c r="AZ8" s="51">
        <f t="shared" si="0"/>
        <v>23661.81818181818</v>
      </c>
      <c r="BA8" s="51">
        <f t="shared" si="0"/>
        <v>2423444</v>
      </c>
      <c r="BB8" s="51">
        <f t="shared" si="0"/>
        <v>0</v>
      </c>
      <c r="BC8" s="51">
        <f t="shared" si="0"/>
        <v>102.42002458890427</v>
      </c>
      <c r="BD8" s="51">
        <f t="shared" si="0"/>
        <v>2366.181818181818</v>
      </c>
      <c r="BE8" s="51">
        <f t="shared" si="0"/>
        <v>49775000.727272727</v>
      </c>
      <c r="BF8" s="51">
        <f>SUM(BF9:BF23)</f>
        <v>0</v>
      </c>
      <c r="BG8" s="51">
        <f t="shared" ref="BG8:BM8" si="1">SUM(BG9:BG23)</f>
        <v>0</v>
      </c>
      <c r="BH8" s="51">
        <f t="shared" si="1"/>
        <v>0</v>
      </c>
      <c r="BI8" s="51">
        <f t="shared" si="1"/>
        <v>0</v>
      </c>
      <c r="BJ8" s="51">
        <f t="shared" si="1"/>
        <v>0</v>
      </c>
      <c r="BK8" s="51">
        <f t="shared" si="1"/>
        <v>0</v>
      </c>
      <c r="BL8" s="51">
        <f t="shared" si="1"/>
        <v>0</v>
      </c>
      <c r="BM8" s="51">
        <f t="shared" si="1"/>
        <v>0</v>
      </c>
      <c r="BN8" s="51">
        <f t="shared" si="0"/>
        <v>40629.536363636355</v>
      </c>
      <c r="BO8" s="51">
        <f t="shared" si="0"/>
        <v>4143208</v>
      </c>
      <c r="BP8" s="51">
        <f t="shared" si="0"/>
        <v>0</v>
      </c>
      <c r="BQ8" s="51"/>
      <c r="BR8" s="51">
        <f>SUM(BR9:BR23)</f>
        <v>4062.9536363636362</v>
      </c>
      <c r="BS8" s="51">
        <f t="shared" ref="BS8:BU8" si="2">SUM(BS9:BS23)</f>
        <v>85965128.967272729</v>
      </c>
      <c r="BT8" s="51">
        <f t="shared" si="2"/>
        <v>0</v>
      </c>
      <c r="BU8" s="51">
        <f t="shared" si="2"/>
        <v>1254311.129</v>
      </c>
      <c r="BV8" s="160">
        <f>SUM(BV9:BV23)</f>
        <v>-3.8999999974294042E-2</v>
      </c>
      <c r="BW8" s="236"/>
      <c r="BX8" s="51"/>
      <c r="BY8" s="51"/>
      <c r="BZ8" s="51">
        <f t="shared" si="0"/>
        <v>68344.772727272735</v>
      </c>
      <c r="CA8" s="51">
        <f t="shared" si="0"/>
        <v>-7500989.6763636367</v>
      </c>
      <c r="CB8" s="51">
        <f t="shared" si="0"/>
        <v>0</v>
      </c>
      <c r="CC8" s="51">
        <f>SUM(CC9:CC22)</f>
        <v>0</v>
      </c>
    </row>
    <row r="9" spans="1:81" s="121" customFormat="1" ht="39.75" customHeight="1" x14ac:dyDescent="0.2">
      <c r="A9" s="114">
        <v>1</v>
      </c>
      <c r="B9" s="114" t="s">
        <v>93</v>
      </c>
      <c r="C9" s="114" t="s">
        <v>1</v>
      </c>
      <c r="D9" s="115" t="s">
        <v>2</v>
      </c>
      <c r="E9" s="115"/>
      <c r="F9" s="115"/>
      <c r="G9" s="114" t="s">
        <v>3</v>
      </c>
      <c r="H9" s="114" t="s">
        <v>48</v>
      </c>
      <c r="I9" s="116" t="s">
        <v>4</v>
      </c>
      <c r="J9" s="79">
        <v>97544</v>
      </c>
      <c r="K9" s="79"/>
      <c r="L9" s="79"/>
      <c r="M9" s="79"/>
      <c r="N9" s="79"/>
      <c r="O9" s="79"/>
      <c r="P9" s="79"/>
      <c r="Q9" s="79"/>
      <c r="R9" s="79"/>
      <c r="S9" s="79"/>
      <c r="T9" s="79"/>
      <c r="U9" s="184">
        <f>J9+K9+M9+O9+Q9+S9</f>
        <v>97544</v>
      </c>
      <c r="V9" s="79">
        <v>6903504</v>
      </c>
      <c r="W9" s="11">
        <f>V9/J9</f>
        <v>70.773230542114334</v>
      </c>
      <c r="X9" s="11">
        <f>J9*0.4</f>
        <v>39017.599999999999</v>
      </c>
      <c r="Y9" s="79">
        <v>2990699</v>
      </c>
      <c r="Z9" s="117" t="s">
        <v>128</v>
      </c>
      <c r="AA9" s="11">
        <f>Y9/X9</f>
        <v>76.649998974821628</v>
      </c>
      <c r="AB9" s="11"/>
      <c r="AC9" s="79"/>
      <c r="AD9" s="79"/>
      <c r="AE9" s="11">
        <v>35470.550000000003</v>
      </c>
      <c r="AF9" s="79">
        <v>2799335</v>
      </c>
      <c r="AG9" s="79" t="s">
        <v>143</v>
      </c>
      <c r="AH9" s="11">
        <f>AF9/AE9</f>
        <v>78.919977276924087</v>
      </c>
      <c r="AI9" s="11">
        <f>AE9*0.1</f>
        <v>3547.0550000000003</v>
      </c>
      <c r="AJ9" s="79">
        <v>73878062</v>
      </c>
      <c r="AK9" s="79" t="s">
        <v>140</v>
      </c>
      <c r="AL9" s="11">
        <f>19508.8/1.1</f>
        <v>17735.272727272724</v>
      </c>
      <c r="AM9" s="79">
        <v>1748520</v>
      </c>
      <c r="AN9" s="145" t="s">
        <v>261</v>
      </c>
      <c r="AO9" s="11">
        <f>AM9/AL9</f>
        <v>98.589969654719937</v>
      </c>
      <c r="AP9" s="11">
        <f>AL9*0.1</f>
        <v>1773.5272727272725</v>
      </c>
      <c r="AQ9" s="79">
        <v>37307914</v>
      </c>
      <c r="AR9" s="79" t="s">
        <v>310</v>
      </c>
      <c r="AS9" s="11"/>
      <c r="AT9" s="79"/>
      <c r="AU9" s="79"/>
      <c r="AV9" s="11"/>
      <c r="AW9" s="11"/>
      <c r="AX9" s="79"/>
      <c r="AY9" s="79"/>
      <c r="AZ9" s="11"/>
      <c r="BA9" s="79"/>
      <c r="BB9" s="79"/>
      <c r="BC9" s="11"/>
      <c r="BD9" s="11"/>
      <c r="BE9" s="79"/>
      <c r="BF9" s="79"/>
      <c r="BG9" s="281"/>
      <c r="BH9" s="281"/>
      <c r="BI9" s="281"/>
      <c r="BJ9" s="281"/>
      <c r="BK9" s="281"/>
      <c r="BL9" s="281"/>
      <c r="BM9" s="281"/>
      <c r="BN9" s="11"/>
      <c r="BO9" s="79"/>
      <c r="BP9" s="11"/>
      <c r="BQ9" s="11"/>
      <c r="BR9" s="11"/>
      <c r="BS9" s="79"/>
      <c r="BT9" s="11"/>
      <c r="BU9" s="8">
        <f t="shared" ref="BU9:BU23" si="3">X9+AB9+AE9+AI9+AL9+AP9+AS9+AW9+AZ9+BD9+BN9+BR9</f>
        <v>97544.004999999976</v>
      </c>
      <c r="BV9" s="263">
        <f>J9-(X9+AE9+BN9+AI9+AL9+AP9+AS9+AW9+AZ9+BD9+BR9+AB9)</f>
        <v>-4.9999999755527824E-3</v>
      </c>
      <c r="BW9" s="237"/>
      <c r="BX9" s="139" t="s">
        <v>395</v>
      </c>
      <c r="BY9" s="139"/>
      <c r="BZ9" s="118">
        <f>J9-X9-AE9-BN9-AL9-AS9-AZ9</f>
        <v>5320.5772727272742</v>
      </c>
      <c r="CA9" s="119">
        <f>V9-Y9-AF9-AM9-AT9-BA9-BO9</f>
        <v>-635050</v>
      </c>
      <c r="CB9" s="115" t="s">
        <v>29</v>
      </c>
      <c r="CC9" s="120" t="s">
        <v>267</v>
      </c>
    </row>
    <row r="10" spans="1:81" s="13" customFormat="1" ht="55.5" customHeight="1" x14ac:dyDescent="0.2">
      <c r="A10" s="16">
        <v>2</v>
      </c>
      <c r="B10" s="16" t="s">
        <v>81</v>
      </c>
      <c r="C10" s="16" t="s">
        <v>5</v>
      </c>
      <c r="D10" s="17" t="s">
        <v>6</v>
      </c>
      <c r="E10" s="17"/>
      <c r="F10" s="17"/>
      <c r="G10" s="16" t="s">
        <v>7</v>
      </c>
      <c r="H10" s="16" t="s">
        <v>43</v>
      </c>
      <c r="I10" s="12" t="s">
        <v>8</v>
      </c>
      <c r="J10" s="19">
        <v>110000</v>
      </c>
      <c r="K10" s="91"/>
      <c r="L10" s="91"/>
      <c r="M10" s="94">
        <v>2750</v>
      </c>
      <c r="N10" s="94">
        <f>J10+M10</f>
        <v>112750</v>
      </c>
      <c r="O10" s="98">
        <v>2750</v>
      </c>
      <c r="P10" s="98">
        <f>N10+O10</f>
        <v>115500</v>
      </c>
      <c r="Q10" s="103"/>
      <c r="R10" s="103"/>
      <c r="S10" s="98"/>
      <c r="T10" s="98"/>
      <c r="U10" s="184">
        <f>J10+K10+M10+O10+Q10+S10</f>
        <v>115500</v>
      </c>
      <c r="V10" s="19">
        <f>7999087*1.1</f>
        <v>8798995.7000000011</v>
      </c>
      <c r="W10" s="28">
        <f>V10/J10</f>
        <v>79.990870000000015</v>
      </c>
      <c r="X10" s="8">
        <f>J10*0.4</f>
        <v>44000</v>
      </c>
      <c r="Y10" s="9">
        <v>3372600</v>
      </c>
      <c r="Z10" s="53" t="s">
        <v>127</v>
      </c>
      <c r="AA10" s="8">
        <f t="shared" ref="AA10:AA26" si="4">Y10/X10</f>
        <v>76.650000000000006</v>
      </c>
      <c r="AB10" s="8"/>
      <c r="AC10" s="9"/>
      <c r="AD10" s="9"/>
      <c r="AE10" s="10">
        <v>44000</v>
      </c>
      <c r="AF10" s="20">
        <v>3616360</v>
      </c>
      <c r="AG10" s="20" t="s">
        <v>132</v>
      </c>
      <c r="AH10" s="10">
        <f t="shared" ref="AH10:AH26" si="5">AF10/AE10</f>
        <v>82.19</v>
      </c>
      <c r="AI10" s="10"/>
      <c r="AJ10" s="20"/>
      <c r="AK10" s="20"/>
      <c r="AL10" s="61">
        <v>25000</v>
      </c>
      <c r="AM10" s="62">
        <v>2459000</v>
      </c>
      <c r="AN10" s="150" t="s">
        <v>308</v>
      </c>
      <c r="AO10" s="61">
        <f>AM10/AL10</f>
        <v>98.36</v>
      </c>
      <c r="AP10" s="61">
        <f>AL10*0.1</f>
        <v>2500</v>
      </c>
      <c r="AQ10" s="62">
        <f>AP10*21036</f>
        <v>52590000</v>
      </c>
      <c r="AR10" s="62" t="s">
        <v>315</v>
      </c>
      <c r="AS10" s="8"/>
      <c r="AT10" s="9"/>
      <c r="AU10" s="9"/>
      <c r="AV10" s="8"/>
      <c r="AW10" s="8"/>
      <c r="AX10" s="9"/>
      <c r="AY10" s="9"/>
      <c r="AZ10" s="83"/>
      <c r="BA10" s="84"/>
      <c r="BB10" s="84"/>
      <c r="BC10" s="83"/>
      <c r="BD10" s="83"/>
      <c r="BE10" s="84"/>
      <c r="BF10" s="84"/>
      <c r="BG10" s="281"/>
      <c r="BH10" s="281"/>
      <c r="BI10" s="281"/>
      <c r="BJ10" s="281"/>
      <c r="BK10" s="281"/>
      <c r="BL10" s="281"/>
      <c r="BM10" s="281"/>
      <c r="BN10" s="11"/>
      <c r="BO10" s="79"/>
      <c r="BP10" s="11"/>
      <c r="BQ10" s="11"/>
      <c r="BR10" s="11"/>
      <c r="BS10" s="79"/>
      <c r="BT10" s="11"/>
      <c r="BU10" s="8">
        <f t="shared" si="3"/>
        <v>115500</v>
      </c>
      <c r="BV10" s="263">
        <f>P10-(X10+AE10+BN10+AI10+AL10+AP10+AS10+AW10+AZ10+BD10+BR10+AB10)</f>
        <v>0</v>
      </c>
      <c r="BW10" s="237"/>
      <c r="BX10" s="139" t="s">
        <v>395</v>
      </c>
      <c r="BY10" s="140"/>
      <c r="BZ10" s="29">
        <f>P10-X10-AE10-BN10-AL10-AS10-AZ10</f>
        <v>2500</v>
      </c>
      <c r="CA10" s="30">
        <f>V10/1.1-Y10-AF10-AM10-AT10-BA10-BO10</f>
        <v>-1448873</v>
      </c>
      <c r="CB10" s="7" t="s">
        <v>26</v>
      </c>
      <c r="CC10" s="12" t="s">
        <v>269</v>
      </c>
    </row>
    <row r="11" spans="1:81" s="13" customFormat="1" ht="34.5" customHeight="1" x14ac:dyDescent="0.2">
      <c r="A11" s="16">
        <v>3</v>
      </c>
      <c r="B11" s="16" t="s">
        <v>94</v>
      </c>
      <c r="C11" s="16" t="s">
        <v>1</v>
      </c>
      <c r="D11" s="17" t="s">
        <v>2</v>
      </c>
      <c r="E11" s="17"/>
      <c r="F11" s="17"/>
      <c r="G11" s="16" t="s">
        <v>7</v>
      </c>
      <c r="H11" s="16" t="s">
        <v>43</v>
      </c>
      <c r="I11" s="12" t="s">
        <v>8</v>
      </c>
      <c r="J11" s="19">
        <v>602701</v>
      </c>
      <c r="K11" s="91"/>
      <c r="L11" s="91"/>
      <c r="M11" s="94">
        <f>N11-J11</f>
        <v>60820</v>
      </c>
      <c r="N11" s="94">
        <v>663521</v>
      </c>
      <c r="O11" s="98"/>
      <c r="P11" s="98"/>
      <c r="Q11" s="103"/>
      <c r="R11" s="103"/>
      <c r="S11" s="98"/>
      <c r="T11" s="98"/>
      <c r="U11" s="184">
        <f t="shared" ref="U11:U52" si="6">J11+K11+M11+O11+Q11+S11</f>
        <v>663521</v>
      </c>
      <c r="V11" s="19">
        <v>48651036</v>
      </c>
      <c r="W11" s="28">
        <f>V11/J11</f>
        <v>80.721677913260478</v>
      </c>
      <c r="X11" s="8">
        <f>J11*0.4</f>
        <v>241080.40000000002</v>
      </c>
      <c r="Y11" s="9">
        <v>18478813</v>
      </c>
      <c r="Z11" s="55" t="s">
        <v>128</v>
      </c>
      <c r="AA11" s="8">
        <f>Y11/X11</f>
        <v>76.650001410317884</v>
      </c>
      <c r="AB11" s="8"/>
      <c r="AC11" s="9"/>
      <c r="AD11" s="9"/>
      <c r="AE11" s="10">
        <v>219164</v>
      </c>
      <c r="AF11" s="20">
        <f>17296423</f>
        <v>17296423</v>
      </c>
      <c r="AG11" s="20" t="s">
        <v>142</v>
      </c>
      <c r="AH11" s="10">
        <f t="shared" si="5"/>
        <v>78.920000547535182</v>
      </c>
      <c r="AI11" s="10">
        <f>AE11*0.1</f>
        <v>21916.400000000001</v>
      </c>
      <c r="AJ11" s="20">
        <f>AI11*20828</f>
        <v>456474779.20000005</v>
      </c>
      <c r="AK11" s="20" t="s">
        <v>140</v>
      </c>
      <c r="AL11" s="61">
        <v>109582</v>
      </c>
      <c r="AM11" s="62">
        <v>10803689</v>
      </c>
      <c r="AN11" s="146" t="s">
        <v>261</v>
      </c>
      <c r="AO11" s="61">
        <f>AM11/AL11</f>
        <v>98.589996532277198</v>
      </c>
      <c r="AP11" s="61">
        <f>AL11*0.1</f>
        <v>10958.2</v>
      </c>
      <c r="AQ11" s="62">
        <f>AP11*21036</f>
        <v>230516695.20000002</v>
      </c>
      <c r="AR11" s="62" t="s">
        <v>310</v>
      </c>
      <c r="AS11" s="8">
        <f>8764/1.1</f>
        <v>7967.272727272727</v>
      </c>
      <c r="AT11" s="9">
        <v>778774</v>
      </c>
      <c r="AU11" s="9" t="s">
        <v>313</v>
      </c>
      <c r="AV11" s="8">
        <f>AT11/AS11</f>
        <v>97.746622546782291</v>
      </c>
      <c r="AW11" s="8">
        <f>AS11*0.1</f>
        <v>796.72727272727275</v>
      </c>
      <c r="AX11" s="9">
        <f>AW11*21036</f>
        <v>16759954.90909091</v>
      </c>
      <c r="AY11" s="57" t="s">
        <v>342</v>
      </c>
      <c r="AZ11" s="83">
        <f>26028/1.1</f>
        <v>23661.81818181818</v>
      </c>
      <c r="BA11" s="84">
        <v>2423444</v>
      </c>
      <c r="BB11" s="84" t="s">
        <v>341</v>
      </c>
      <c r="BC11" s="83">
        <f>BA11/AZ11</f>
        <v>102.42002458890427</v>
      </c>
      <c r="BD11" s="83">
        <f>AZ11*0.1</f>
        <v>2366.181818181818</v>
      </c>
      <c r="BE11" s="84">
        <f>BD11*21036</f>
        <v>49775000.727272727</v>
      </c>
      <c r="BF11" s="84" t="s">
        <v>349</v>
      </c>
      <c r="BG11" s="281"/>
      <c r="BH11" s="281"/>
      <c r="BI11" s="281"/>
      <c r="BJ11" s="281"/>
      <c r="BK11" s="281"/>
      <c r="BL11" s="281"/>
      <c r="BM11" s="281"/>
      <c r="BN11" s="11">
        <f>26028/1.1</f>
        <v>23661.81818181818</v>
      </c>
      <c r="BO11" s="79">
        <v>2405377</v>
      </c>
      <c r="BP11" s="73" t="s">
        <v>387</v>
      </c>
      <c r="BQ11" s="11">
        <f>BO11/BN11</f>
        <v>101.65647379744891</v>
      </c>
      <c r="BR11" s="11">
        <f>BN11*0.1</f>
        <v>2366.181818181818</v>
      </c>
      <c r="BS11" s="79">
        <v>50271903</v>
      </c>
      <c r="BT11" s="11" t="s">
        <v>391</v>
      </c>
      <c r="BU11" s="8">
        <f t="shared" si="3"/>
        <v>663521</v>
      </c>
      <c r="BV11" s="263">
        <f>N11-(X11+AE11+BN11+AI11+AL11+AP11+AS11+AW11+AZ11+BD11+BR11+AB11)</f>
        <v>0</v>
      </c>
      <c r="BW11" s="237" t="s">
        <v>362</v>
      </c>
      <c r="BX11" s="139" t="s">
        <v>395</v>
      </c>
      <c r="BY11" s="140" t="s">
        <v>321</v>
      </c>
      <c r="BZ11" s="29">
        <f>N11-X11-AE11-BN11-AL11-AS11-AZ11</f>
        <v>38403.690909090888</v>
      </c>
      <c r="CA11" s="30">
        <f t="shared" ref="CA11:CA21" si="7">V11-Y11-AF11-AM11-AT11-BA11-BO11</f>
        <v>-3535484</v>
      </c>
      <c r="CB11" s="7" t="s">
        <v>52</v>
      </c>
      <c r="CC11" s="12" t="s">
        <v>268</v>
      </c>
    </row>
    <row r="12" spans="1:81" s="13" customFormat="1" ht="27.75" customHeight="1" x14ac:dyDescent="0.2">
      <c r="A12" s="16">
        <v>4</v>
      </c>
      <c r="B12" s="16" t="s">
        <v>80</v>
      </c>
      <c r="C12" s="22" t="s">
        <v>74</v>
      </c>
      <c r="D12" s="17" t="s">
        <v>9</v>
      </c>
      <c r="E12" s="17"/>
      <c r="F12" s="17"/>
      <c r="G12" s="16" t="s">
        <v>7</v>
      </c>
      <c r="H12" s="16" t="s">
        <v>43</v>
      </c>
      <c r="I12" s="12" t="s">
        <v>8</v>
      </c>
      <c r="J12" s="19">
        <v>126500</v>
      </c>
      <c r="K12" s="91"/>
      <c r="L12" s="91"/>
      <c r="M12" s="94"/>
      <c r="N12" s="94"/>
      <c r="O12" s="98"/>
      <c r="P12" s="98"/>
      <c r="Q12" s="103"/>
      <c r="R12" s="103"/>
      <c r="S12" s="98"/>
      <c r="T12" s="98"/>
      <c r="U12" s="184">
        <f t="shared" si="6"/>
        <v>126500</v>
      </c>
      <c r="V12" s="19">
        <f>11189540</f>
        <v>11189540</v>
      </c>
      <c r="W12" s="28">
        <f>V12/J12</f>
        <v>88.454861660079047</v>
      </c>
      <c r="X12" s="8">
        <f>J12*0.4</f>
        <v>50600</v>
      </c>
      <c r="Y12" s="9">
        <v>3878490</v>
      </c>
      <c r="Z12" s="53" t="s">
        <v>127</v>
      </c>
      <c r="AA12" s="8">
        <f t="shared" si="4"/>
        <v>76.650000000000006</v>
      </c>
      <c r="AB12" s="8"/>
      <c r="AC12" s="9"/>
      <c r="AD12" s="9"/>
      <c r="AE12" s="10">
        <f>50600/1.1</f>
        <v>45999.999999999993</v>
      </c>
      <c r="AF12" s="20">
        <v>3630320</v>
      </c>
      <c r="AG12" s="20" t="s">
        <v>141</v>
      </c>
      <c r="AH12" s="10">
        <f t="shared" si="5"/>
        <v>78.920000000000016</v>
      </c>
      <c r="AI12" s="10">
        <v>4600</v>
      </c>
      <c r="AJ12" s="20">
        <f>4600*20828</f>
        <v>95808800</v>
      </c>
      <c r="AK12" s="20" t="s">
        <v>140</v>
      </c>
      <c r="AL12" s="61">
        <f>25300/1.1</f>
        <v>22999.999999999996</v>
      </c>
      <c r="AM12" s="62">
        <f>AL12*98.08</f>
        <v>2255839.9999999995</v>
      </c>
      <c r="AN12" s="130" t="s">
        <v>305</v>
      </c>
      <c r="AO12" s="61"/>
      <c r="AP12" s="61">
        <f>AL12*0.1</f>
        <v>2299.9999999999995</v>
      </c>
      <c r="AQ12" s="62">
        <f>AP12*21036</f>
        <v>48382799.999999993</v>
      </c>
      <c r="AR12" s="63" t="s">
        <v>324</v>
      </c>
      <c r="AS12" s="8"/>
      <c r="AT12" s="9"/>
      <c r="AU12" s="9"/>
      <c r="AV12" s="8"/>
      <c r="AW12" s="8"/>
      <c r="AX12" s="9"/>
      <c r="AY12" s="9"/>
      <c r="AZ12" s="83"/>
      <c r="BA12" s="84"/>
      <c r="BB12" s="84"/>
      <c r="BC12" s="83"/>
      <c r="BD12" s="83"/>
      <c r="BE12" s="84"/>
      <c r="BF12" s="84"/>
      <c r="BG12" s="281"/>
      <c r="BH12" s="281"/>
      <c r="BI12" s="281"/>
      <c r="BJ12" s="281"/>
      <c r="BK12" s="281"/>
      <c r="BL12" s="281"/>
      <c r="BM12" s="281"/>
      <c r="BN12" s="11"/>
      <c r="BO12" s="79"/>
      <c r="BP12" s="11"/>
      <c r="BQ12" s="11"/>
      <c r="BR12" s="11"/>
      <c r="BS12" s="79"/>
      <c r="BT12" s="11"/>
      <c r="BU12" s="8">
        <f t="shared" si="3"/>
        <v>126500</v>
      </c>
      <c r="BV12" s="263">
        <f>J12-(X12+AE12+BN12+AI12+AL12+AP12+AS12+AW12+AZ12+BD12+BR12+AB12)</f>
        <v>0</v>
      </c>
      <c r="BW12" s="237"/>
      <c r="BX12" s="139" t="s">
        <v>395</v>
      </c>
      <c r="BY12" s="139"/>
      <c r="BZ12" s="29">
        <f>J12-X12-AE12-BN12-AL12-AS12-AZ12</f>
        <v>6900.0000000000109</v>
      </c>
      <c r="CA12" s="30">
        <f t="shared" si="7"/>
        <v>1424890.0000000005</v>
      </c>
      <c r="CB12" s="7" t="s">
        <v>27</v>
      </c>
      <c r="CC12" s="12" t="s">
        <v>272</v>
      </c>
    </row>
    <row r="13" spans="1:81" s="13" customFormat="1" ht="34.5" customHeight="1" x14ac:dyDescent="0.2">
      <c r="A13" s="16"/>
      <c r="B13" s="16"/>
      <c r="C13" s="22" t="s">
        <v>74</v>
      </c>
      <c r="D13" s="17" t="s">
        <v>9</v>
      </c>
      <c r="E13" s="17"/>
      <c r="F13" s="17"/>
      <c r="G13" s="16" t="s">
        <v>75</v>
      </c>
      <c r="H13" s="16"/>
      <c r="I13" s="12" t="s">
        <v>270</v>
      </c>
      <c r="J13" s="28"/>
      <c r="K13" s="80">
        <v>2847.9</v>
      </c>
      <c r="L13" s="106">
        <f>J12+K13</f>
        <v>129347.9</v>
      </c>
      <c r="M13" s="95"/>
      <c r="N13" s="95"/>
      <c r="O13" s="99"/>
      <c r="P13" s="99"/>
      <c r="Q13" s="104"/>
      <c r="R13" s="104"/>
      <c r="S13" s="99"/>
      <c r="T13" s="99"/>
      <c r="U13" s="184">
        <f t="shared" si="6"/>
        <v>2847.9</v>
      </c>
      <c r="V13" s="19"/>
      <c r="W13" s="28">
        <f>V13/K13</f>
        <v>0</v>
      </c>
      <c r="X13" s="8"/>
      <c r="Y13" s="9"/>
      <c r="Z13" s="53"/>
      <c r="AA13" s="8"/>
      <c r="AB13" s="8"/>
      <c r="AC13" s="9"/>
      <c r="AD13" s="9"/>
      <c r="AE13" s="10">
        <v>2071.1999999999998</v>
      </c>
      <c r="AF13" s="20"/>
      <c r="AG13" s="20" t="s">
        <v>140</v>
      </c>
      <c r="AH13" s="147" t="s">
        <v>314</v>
      </c>
      <c r="AI13" s="10">
        <f>AE13*0.1-0.02</f>
        <v>207.1</v>
      </c>
      <c r="AJ13" s="20">
        <v>47452391</v>
      </c>
      <c r="AK13" s="20" t="s">
        <v>140</v>
      </c>
      <c r="AL13" s="61">
        <f>569.6/1.1</f>
        <v>517.81818181818176</v>
      </c>
      <c r="AM13" s="62">
        <f>AL13*98.08</f>
        <v>50787.607272727262</v>
      </c>
      <c r="AN13" s="130" t="s">
        <v>305</v>
      </c>
      <c r="AO13" s="61"/>
      <c r="AP13" s="61">
        <f>AL13*0.1</f>
        <v>51.781818181818181</v>
      </c>
      <c r="AQ13" s="62">
        <f>AP13*21036</f>
        <v>1089282.3272727272</v>
      </c>
      <c r="AR13" s="63" t="s">
        <v>324</v>
      </c>
      <c r="AS13" s="8"/>
      <c r="AT13" s="9"/>
      <c r="AU13" s="9"/>
      <c r="AV13" s="8"/>
      <c r="AW13" s="8"/>
      <c r="AX13" s="9"/>
      <c r="AY13" s="9"/>
      <c r="AZ13" s="83"/>
      <c r="BA13" s="84"/>
      <c r="BB13" s="84"/>
      <c r="BC13" s="83"/>
      <c r="BD13" s="83"/>
      <c r="BE13" s="84"/>
      <c r="BF13" s="84"/>
      <c r="BG13" s="281"/>
      <c r="BH13" s="281"/>
      <c r="BI13" s="281"/>
      <c r="BJ13" s="281"/>
      <c r="BK13" s="281"/>
      <c r="BL13" s="281"/>
      <c r="BM13" s="281"/>
      <c r="BN13" s="11"/>
      <c r="BO13" s="79"/>
      <c r="BP13" s="11"/>
      <c r="BQ13" s="11"/>
      <c r="BR13" s="11"/>
      <c r="BS13" s="79"/>
      <c r="BT13" s="11"/>
      <c r="BU13" s="8">
        <f t="shared" si="3"/>
        <v>2847.8999999999996</v>
      </c>
      <c r="BV13" s="263">
        <f>K13-(X13+AE13+BN13+AI13+AL13+AP13+AS13+AW13+AZ13+BD13+BR13+AB13)</f>
        <v>0</v>
      </c>
      <c r="BW13" s="237"/>
      <c r="BX13" s="139" t="s">
        <v>395</v>
      </c>
      <c r="BY13" s="139"/>
      <c r="BZ13" s="29">
        <f>K13-X13-AE13-BN13-AL13-AS13-AZ13</f>
        <v>258.88181818181852</v>
      </c>
      <c r="CA13" s="30">
        <f t="shared" si="7"/>
        <v>-50787.607272727262</v>
      </c>
      <c r="CB13" s="7" t="s">
        <v>95</v>
      </c>
      <c r="CC13" s="12" t="s">
        <v>274</v>
      </c>
    </row>
    <row r="14" spans="1:81" s="13" customFormat="1" ht="32.25" customHeight="1" x14ac:dyDescent="0.2">
      <c r="A14" s="16"/>
      <c r="B14" s="16"/>
      <c r="C14" s="22" t="s">
        <v>74</v>
      </c>
      <c r="D14" s="17" t="s">
        <v>9</v>
      </c>
      <c r="E14" s="17"/>
      <c r="F14" s="17"/>
      <c r="G14" s="16"/>
      <c r="H14" s="16"/>
      <c r="I14" s="12" t="s">
        <v>64</v>
      </c>
      <c r="J14" s="28"/>
      <c r="K14" s="80"/>
      <c r="L14" s="80"/>
      <c r="M14" s="95">
        <v>20436</v>
      </c>
      <c r="N14" s="108">
        <f>L13+M14</f>
        <v>149783.9</v>
      </c>
      <c r="O14" s="99"/>
      <c r="P14" s="99"/>
      <c r="Q14" s="104"/>
      <c r="R14" s="104"/>
      <c r="S14" s="99"/>
      <c r="T14" s="99"/>
      <c r="U14" s="184">
        <f t="shared" si="6"/>
        <v>20436</v>
      </c>
      <c r="V14" s="19"/>
      <c r="W14" s="28"/>
      <c r="X14" s="8">
        <v>14862.55</v>
      </c>
      <c r="Y14" s="9">
        <v>1465245</v>
      </c>
      <c r="Z14" s="55" t="s">
        <v>258</v>
      </c>
      <c r="AA14" s="8">
        <f>Y14/X14</f>
        <v>98.586379860791055</v>
      </c>
      <c r="AB14" s="8">
        <f>X14*0.1</f>
        <v>1486.2550000000001</v>
      </c>
      <c r="AC14" s="9">
        <f>AB14*21036</f>
        <v>31264860.180000003</v>
      </c>
      <c r="AD14" s="9" t="s">
        <v>298</v>
      </c>
      <c r="AE14" s="10">
        <f>4087.2/1.1</f>
        <v>3715.6363636363631</v>
      </c>
      <c r="AF14" s="62">
        <f>AE14*98.08</f>
        <v>364429.6145454545</v>
      </c>
      <c r="AG14" s="130" t="s">
        <v>305</v>
      </c>
      <c r="AH14" s="10"/>
      <c r="AI14" s="10">
        <f>AE14*0.1</f>
        <v>371.56363636363631</v>
      </c>
      <c r="AJ14" s="20">
        <f>AI14*21036</f>
        <v>7816212.6545454534</v>
      </c>
      <c r="AK14" s="63" t="s">
        <v>324</v>
      </c>
      <c r="AL14" s="61"/>
      <c r="AM14" s="62"/>
      <c r="AN14" s="130"/>
      <c r="AO14" s="110"/>
      <c r="AP14" s="61"/>
      <c r="AQ14" s="62"/>
      <c r="AR14" s="62"/>
      <c r="AS14" s="8"/>
      <c r="AT14" s="9"/>
      <c r="AU14" s="9"/>
      <c r="AV14" s="8"/>
      <c r="AW14" s="8"/>
      <c r="AX14" s="9"/>
      <c r="AY14" s="9"/>
      <c r="AZ14" s="83"/>
      <c r="BA14" s="84"/>
      <c r="BB14" s="84"/>
      <c r="BC14" s="83"/>
      <c r="BD14" s="83"/>
      <c r="BE14" s="84"/>
      <c r="BF14" s="84"/>
      <c r="BG14" s="281"/>
      <c r="BH14" s="281"/>
      <c r="BI14" s="281"/>
      <c r="BJ14" s="281"/>
      <c r="BK14" s="281"/>
      <c r="BL14" s="281"/>
      <c r="BM14" s="281"/>
      <c r="BN14" s="11"/>
      <c r="BO14" s="79"/>
      <c r="BP14" s="11"/>
      <c r="BQ14" s="11"/>
      <c r="BR14" s="11"/>
      <c r="BS14" s="79"/>
      <c r="BT14" s="11"/>
      <c r="BU14" s="8">
        <f t="shared" si="3"/>
        <v>20436.005000000001</v>
      </c>
      <c r="BV14" s="263">
        <f>M14-(X14+AE14+BN14+AI14+AL14+AP14+AS14+AW14+AZ14+BD14+BR14+AB14)</f>
        <v>-5.0000000010186341E-3</v>
      </c>
      <c r="BW14" s="237"/>
      <c r="BX14" s="139" t="s">
        <v>395</v>
      </c>
      <c r="BY14" s="139"/>
      <c r="BZ14" s="29">
        <f>M14-X14-AE14-BN14-AL14-AS14-AZ14</f>
        <v>1857.8136363636377</v>
      </c>
      <c r="CA14" s="30">
        <f t="shared" si="7"/>
        <v>-1829674.6145454545</v>
      </c>
      <c r="CB14" s="7"/>
      <c r="CC14" s="12" t="s">
        <v>273</v>
      </c>
    </row>
    <row r="15" spans="1:81" s="13" customFormat="1" ht="29.25" customHeight="1" x14ac:dyDescent="0.2">
      <c r="A15" s="16">
        <v>5</v>
      </c>
      <c r="B15" s="16" t="s">
        <v>96</v>
      </c>
      <c r="C15" s="16" t="s">
        <v>10</v>
      </c>
      <c r="D15" s="17" t="s">
        <v>14</v>
      </c>
      <c r="E15" s="17"/>
      <c r="F15" s="17"/>
      <c r="G15" s="16" t="s">
        <v>7</v>
      </c>
      <c r="H15" s="16" t="s">
        <v>43</v>
      </c>
      <c r="I15" s="12" t="s">
        <v>8</v>
      </c>
      <c r="J15" s="19">
        <v>82500</v>
      </c>
      <c r="K15" s="91"/>
      <c r="L15" s="91"/>
      <c r="M15" s="94"/>
      <c r="N15" s="94"/>
      <c r="O15" s="98"/>
      <c r="P15" s="98"/>
      <c r="Q15" s="103"/>
      <c r="R15" s="103"/>
      <c r="S15" s="98"/>
      <c r="T15" s="98"/>
      <c r="U15" s="184">
        <f t="shared" si="6"/>
        <v>82500</v>
      </c>
      <c r="V15" s="19">
        <v>8077939</v>
      </c>
      <c r="W15" s="28">
        <f>V15/J15</f>
        <v>97.914412121212123</v>
      </c>
      <c r="X15" s="8">
        <f>J15*0.4</f>
        <v>33000</v>
      </c>
      <c r="Y15" s="9">
        <v>2529450</v>
      </c>
      <c r="Z15" s="53" t="s">
        <v>127</v>
      </c>
      <c r="AA15" s="8">
        <f t="shared" si="4"/>
        <v>76.650000000000006</v>
      </c>
      <c r="AB15" s="8"/>
      <c r="AC15" s="9"/>
      <c r="AD15" s="9"/>
      <c r="AE15" s="10">
        <f>33000/1.1</f>
        <v>29999.999999999996</v>
      </c>
      <c r="AF15" s="20">
        <f>2679270/1.1</f>
        <v>2435700</v>
      </c>
      <c r="AG15" s="20" t="s">
        <v>63</v>
      </c>
      <c r="AH15" s="10">
        <f t="shared" si="5"/>
        <v>81.190000000000012</v>
      </c>
      <c r="AI15" s="10">
        <v>3000</v>
      </c>
      <c r="AJ15" s="20">
        <v>62445000</v>
      </c>
      <c r="AK15" s="20" t="s">
        <v>136</v>
      </c>
      <c r="AL15" s="61">
        <v>15000</v>
      </c>
      <c r="AM15" s="62">
        <v>1478850</v>
      </c>
      <c r="AN15" s="130" t="s">
        <v>261</v>
      </c>
      <c r="AO15" s="61">
        <f t="shared" ref="AO15" si="8">AM15/AL15</f>
        <v>98.59</v>
      </c>
      <c r="AP15" s="61">
        <v>1500</v>
      </c>
      <c r="AQ15" s="62">
        <f>AP15*21036</f>
        <v>31554000</v>
      </c>
      <c r="AR15" s="62" t="s">
        <v>305</v>
      </c>
      <c r="AS15" s="8"/>
      <c r="AT15" s="9"/>
      <c r="AU15" s="9"/>
      <c r="AV15" s="8"/>
      <c r="AW15" s="8"/>
      <c r="AX15" s="9"/>
      <c r="AY15" s="9"/>
      <c r="AZ15" s="83"/>
      <c r="BA15" s="84"/>
      <c r="BB15" s="84"/>
      <c r="BC15" s="83"/>
      <c r="BD15" s="83"/>
      <c r="BE15" s="84"/>
      <c r="BF15" s="84"/>
      <c r="BG15" s="281"/>
      <c r="BH15" s="281"/>
      <c r="BI15" s="281"/>
      <c r="BJ15" s="281"/>
      <c r="BK15" s="281"/>
      <c r="BL15" s="281"/>
      <c r="BM15" s="281"/>
      <c r="BN15" s="11"/>
      <c r="BO15" s="79"/>
      <c r="BP15" s="11"/>
      <c r="BQ15" s="11"/>
      <c r="BR15" s="11"/>
      <c r="BS15" s="79"/>
      <c r="BT15" s="11"/>
      <c r="BU15" s="8">
        <f t="shared" si="3"/>
        <v>82500</v>
      </c>
      <c r="BV15" s="263">
        <f>J15-(X15+AE15+BN15+AI15+AL15+AP15+AS15+AW15+AZ15+BD15+BR15+AB15)</f>
        <v>0</v>
      </c>
      <c r="BW15" s="237"/>
      <c r="BX15" s="139" t="s">
        <v>395</v>
      </c>
      <c r="BY15" s="139"/>
      <c r="BZ15" s="29">
        <f>J15-X15-AE15-BN15-AL15-AS15-AZ15</f>
        <v>4500.0000000000036</v>
      </c>
      <c r="CA15" s="30">
        <f t="shared" si="7"/>
        <v>1633939</v>
      </c>
      <c r="CB15" s="50" t="s">
        <v>30</v>
      </c>
      <c r="CC15" s="12" t="s">
        <v>275</v>
      </c>
    </row>
    <row r="16" spans="1:81" s="13" customFormat="1" ht="21" customHeight="1" x14ac:dyDescent="0.2">
      <c r="A16" s="16"/>
      <c r="B16" s="16"/>
      <c r="C16" s="16" t="s">
        <v>10</v>
      </c>
      <c r="D16" s="17" t="s">
        <v>14</v>
      </c>
      <c r="E16" s="17"/>
      <c r="F16" s="17"/>
      <c r="G16" s="21">
        <v>40547</v>
      </c>
      <c r="H16" s="16" t="s">
        <v>43</v>
      </c>
      <c r="I16" s="12" t="s">
        <v>246</v>
      </c>
      <c r="J16" s="19"/>
      <c r="K16" s="91"/>
      <c r="L16" s="91"/>
      <c r="M16" s="94">
        <v>17700</v>
      </c>
      <c r="N16" s="94">
        <f>J15+M16</f>
        <v>100200</v>
      </c>
      <c r="O16" s="98"/>
      <c r="P16" s="98"/>
      <c r="Q16" s="103"/>
      <c r="R16" s="103"/>
      <c r="S16" s="98"/>
      <c r="T16" s="98"/>
      <c r="U16" s="184">
        <f t="shared" si="6"/>
        <v>17700</v>
      </c>
      <c r="V16" s="19"/>
      <c r="W16" s="28">
        <f>V16/M16</f>
        <v>0</v>
      </c>
      <c r="X16" s="8">
        <f>M16*0.8/1.1</f>
        <v>12872.727272727272</v>
      </c>
      <c r="Y16" s="9">
        <f>X16*104.08</f>
        <v>1339793.4545454544</v>
      </c>
      <c r="Z16" s="55" t="s">
        <v>199</v>
      </c>
      <c r="AA16" s="8"/>
      <c r="AB16" s="8">
        <f>X16*0.1</f>
        <v>1287.2727272727273</v>
      </c>
      <c r="AC16" s="9">
        <f>AB16*20828</f>
        <v>26811316.363636363</v>
      </c>
      <c r="AD16" s="57" t="s">
        <v>224</v>
      </c>
      <c r="AE16" s="10">
        <f>3540/1.1</f>
        <v>3218.181818181818</v>
      </c>
      <c r="AF16" s="20">
        <f>316522</f>
        <v>316522</v>
      </c>
      <c r="AG16" s="149" t="s">
        <v>308</v>
      </c>
      <c r="AH16" s="10">
        <f>AF16/AE16</f>
        <v>98.354293785310745</v>
      </c>
      <c r="AI16" s="10">
        <f>AE16*0.1</f>
        <v>321.81818181818181</v>
      </c>
      <c r="AJ16" s="20">
        <f>AI16*21036</f>
        <v>6769767.2727272725</v>
      </c>
      <c r="AK16" s="20" t="s">
        <v>315</v>
      </c>
      <c r="AL16" s="61"/>
      <c r="AM16" s="62"/>
      <c r="AN16" s="62"/>
      <c r="AO16" s="61"/>
      <c r="AP16" s="61"/>
      <c r="AQ16" s="62"/>
      <c r="AR16" s="62"/>
      <c r="AS16" s="8"/>
      <c r="AT16" s="9"/>
      <c r="AU16" s="9"/>
      <c r="AV16" s="8"/>
      <c r="AW16" s="8"/>
      <c r="AX16" s="9"/>
      <c r="AY16" s="9"/>
      <c r="AZ16" s="83"/>
      <c r="BA16" s="84"/>
      <c r="BB16" s="84"/>
      <c r="BC16" s="83"/>
      <c r="BD16" s="83"/>
      <c r="BE16" s="84"/>
      <c r="BF16" s="84"/>
      <c r="BG16" s="281"/>
      <c r="BH16" s="281"/>
      <c r="BI16" s="281"/>
      <c r="BJ16" s="281"/>
      <c r="BK16" s="281"/>
      <c r="BL16" s="281"/>
      <c r="BM16" s="281"/>
      <c r="BN16" s="11"/>
      <c r="BO16" s="79"/>
      <c r="BP16" s="11"/>
      <c r="BQ16" s="11"/>
      <c r="BR16" s="11"/>
      <c r="BS16" s="79"/>
      <c r="BT16" s="11"/>
      <c r="BU16" s="8">
        <f t="shared" si="3"/>
        <v>17699.999999999996</v>
      </c>
      <c r="BV16" s="263">
        <f>M16-(X16+AE16+BN16+AI16+AL16+AP16+AS16+AW16+AZ16+BD16+BR16+AB16)</f>
        <v>0</v>
      </c>
      <c r="BW16" s="237"/>
      <c r="BX16" s="139" t="s">
        <v>395</v>
      </c>
      <c r="BY16" s="139"/>
      <c r="BZ16" s="29">
        <f>M16-X16-AE16-BN16-AL16-AS16-AZ16</f>
        <v>1609.0909090909099</v>
      </c>
      <c r="CA16" s="30">
        <f t="shared" si="7"/>
        <v>-1656315.4545454544</v>
      </c>
      <c r="CB16" s="50"/>
      <c r="CC16" s="12" t="s">
        <v>274</v>
      </c>
    </row>
    <row r="17" spans="1:98" s="13" customFormat="1" ht="16.5" customHeight="1" x14ac:dyDescent="0.2">
      <c r="A17" s="16"/>
      <c r="B17" s="16"/>
      <c r="C17" s="16" t="s">
        <v>10</v>
      </c>
      <c r="D17" s="17" t="s">
        <v>14</v>
      </c>
      <c r="E17" s="17"/>
      <c r="F17" s="17"/>
      <c r="G17" s="21"/>
      <c r="H17" s="16" t="s">
        <v>247</v>
      </c>
      <c r="I17" s="12" t="s">
        <v>248</v>
      </c>
      <c r="J17" s="19"/>
      <c r="K17" s="91"/>
      <c r="L17" s="91"/>
      <c r="M17" s="94"/>
      <c r="N17" s="94"/>
      <c r="O17" s="98">
        <v>8512</v>
      </c>
      <c r="P17" s="98">
        <f>N16+O17</f>
        <v>108712</v>
      </c>
      <c r="Q17" s="103"/>
      <c r="R17" s="103"/>
      <c r="S17" s="98"/>
      <c r="T17" s="98"/>
      <c r="U17" s="184">
        <f t="shared" si="6"/>
        <v>8512</v>
      </c>
      <c r="V17" s="19"/>
      <c r="W17" s="28"/>
      <c r="X17" s="8">
        <v>6190.91</v>
      </c>
      <c r="Y17" s="9">
        <f>1984332-1339793</f>
        <v>644539</v>
      </c>
      <c r="Z17" s="55" t="s">
        <v>250</v>
      </c>
      <c r="AA17" s="8"/>
      <c r="AB17" s="8">
        <f>X17*0.1</f>
        <v>619.09100000000001</v>
      </c>
      <c r="AC17" s="9">
        <f>AB17*20828</f>
        <v>12894427.347999999</v>
      </c>
      <c r="AD17" s="57" t="s">
        <v>260</v>
      </c>
      <c r="AE17" s="10">
        <f>1702/1.1</f>
        <v>1547.2727272727273</v>
      </c>
      <c r="AF17" s="20">
        <v>152189</v>
      </c>
      <c r="AG17" s="149" t="s">
        <v>308</v>
      </c>
      <c r="AH17" s="10">
        <f>AF17/AE17</f>
        <v>98.359518213866039</v>
      </c>
      <c r="AI17" s="10">
        <f>AE17*0.1</f>
        <v>154.72727272727275</v>
      </c>
      <c r="AJ17" s="20">
        <f>AI17*21036</f>
        <v>3254842.9090909096</v>
      </c>
      <c r="AK17" s="20" t="s">
        <v>315</v>
      </c>
      <c r="AL17" s="61"/>
      <c r="AM17" s="62"/>
      <c r="AN17" s="62"/>
      <c r="AO17" s="61"/>
      <c r="AP17" s="61"/>
      <c r="AQ17" s="62"/>
      <c r="AR17" s="62"/>
      <c r="AS17" s="8"/>
      <c r="AT17" s="9"/>
      <c r="AU17" s="9"/>
      <c r="AV17" s="8"/>
      <c r="AW17" s="8"/>
      <c r="AX17" s="9"/>
      <c r="AY17" s="9"/>
      <c r="AZ17" s="83"/>
      <c r="BA17" s="84"/>
      <c r="BB17" s="84"/>
      <c r="BC17" s="83"/>
      <c r="BD17" s="83"/>
      <c r="BE17" s="84"/>
      <c r="BF17" s="84"/>
      <c r="BG17" s="281"/>
      <c r="BH17" s="281"/>
      <c r="BI17" s="281"/>
      <c r="BJ17" s="281"/>
      <c r="BK17" s="281"/>
      <c r="BL17" s="281"/>
      <c r="BM17" s="281"/>
      <c r="BN17" s="11"/>
      <c r="BO17" s="79"/>
      <c r="BP17" s="11"/>
      <c r="BQ17" s="11"/>
      <c r="BR17" s="11"/>
      <c r="BS17" s="79"/>
      <c r="BT17" s="11"/>
      <c r="BU17" s="8">
        <f t="shared" si="3"/>
        <v>8512.0010000000002</v>
      </c>
      <c r="BV17" s="263">
        <f>O17-(X17+AE17+BN17+AI17+AL17+AP17+AS17+AW17+AZ17+BD17+BR17+AB17)</f>
        <v>-1.0000000002037268E-3</v>
      </c>
      <c r="BW17" s="237"/>
      <c r="BX17" s="139" t="s">
        <v>395</v>
      </c>
      <c r="BY17" s="139"/>
      <c r="BZ17" s="29">
        <f>O17-X17-AE17-BN17-AL17-AS17-AZ17</f>
        <v>773.81727272727289</v>
      </c>
      <c r="CA17" s="30">
        <f t="shared" si="7"/>
        <v>-796728</v>
      </c>
      <c r="CB17" s="50"/>
      <c r="CC17" s="12" t="s">
        <v>273</v>
      </c>
    </row>
    <row r="18" spans="1:98" s="13" customFormat="1" ht="17.100000000000001" customHeight="1" x14ac:dyDescent="0.2">
      <c r="A18" s="16">
        <v>6</v>
      </c>
      <c r="B18" s="16" t="s">
        <v>97</v>
      </c>
      <c r="C18" s="16" t="s">
        <v>11</v>
      </c>
      <c r="D18" s="17" t="s">
        <v>12</v>
      </c>
      <c r="E18" s="17"/>
      <c r="F18" s="17"/>
      <c r="G18" s="16" t="s">
        <v>7</v>
      </c>
      <c r="H18" s="16" t="s">
        <v>43</v>
      </c>
      <c r="I18" s="12" t="s">
        <v>8</v>
      </c>
      <c r="J18" s="19">
        <v>59400</v>
      </c>
      <c r="K18" s="91"/>
      <c r="L18" s="91"/>
      <c r="M18" s="94"/>
      <c r="N18" s="94"/>
      <c r="O18" s="98"/>
      <c r="P18" s="98"/>
      <c r="Q18" s="103"/>
      <c r="R18" s="103"/>
      <c r="S18" s="98"/>
      <c r="T18" s="98"/>
      <c r="U18" s="184">
        <f>J18+K18+M18+O18+Q18+S18</f>
        <v>59400</v>
      </c>
      <c r="V18" s="19">
        <v>4437450</v>
      </c>
      <c r="W18" s="28">
        <f>V18/J18</f>
        <v>74.704545454545453</v>
      </c>
      <c r="X18" s="8">
        <f>J18*0.4</f>
        <v>23760</v>
      </c>
      <c r="Y18" s="9">
        <v>1955531</v>
      </c>
      <c r="Z18" s="53" t="s">
        <v>127</v>
      </c>
      <c r="AA18" s="8">
        <f t="shared" si="4"/>
        <v>82.303493265993268</v>
      </c>
      <c r="AB18" s="8"/>
      <c r="AC18" s="9"/>
      <c r="AD18" s="9"/>
      <c r="AE18" s="10">
        <v>23760</v>
      </c>
      <c r="AF18" s="20">
        <v>1955532</v>
      </c>
      <c r="AG18" s="20" t="s">
        <v>133</v>
      </c>
      <c r="AH18" s="10">
        <f t="shared" si="5"/>
        <v>82.303535353535352</v>
      </c>
      <c r="AI18" s="10"/>
      <c r="AJ18" s="20"/>
      <c r="AK18" s="20"/>
      <c r="AL18" s="61"/>
      <c r="AM18" s="62"/>
      <c r="AN18" s="62"/>
      <c r="AO18" s="61"/>
      <c r="AP18" s="61"/>
      <c r="AQ18" s="62"/>
      <c r="AR18" s="62"/>
      <c r="AS18" s="8"/>
      <c r="AT18" s="9"/>
      <c r="AU18" s="9"/>
      <c r="AV18" s="8"/>
      <c r="AW18" s="8"/>
      <c r="AX18" s="9"/>
      <c r="AY18" s="9"/>
      <c r="AZ18" s="83"/>
      <c r="BA18" s="84"/>
      <c r="BB18" s="84"/>
      <c r="BC18" s="83"/>
      <c r="BD18" s="83"/>
      <c r="BE18" s="84"/>
      <c r="BF18" s="84"/>
      <c r="BG18" s="281"/>
      <c r="BH18" s="281"/>
      <c r="BI18" s="281"/>
      <c r="BJ18" s="281"/>
      <c r="BK18" s="281"/>
      <c r="BL18" s="281"/>
      <c r="BM18" s="281"/>
      <c r="BN18" s="11">
        <f>11880/1.1</f>
        <v>10800</v>
      </c>
      <c r="BO18" s="79">
        <f>BN18*BQ18</f>
        <v>1106460</v>
      </c>
      <c r="BP18" s="11" t="s">
        <v>339</v>
      </c>
      <c r="BQ18" s="11">
        <v>102.45</v>
      </c>
      <c r="BR18" s="11">
        <f>BN18*0.1</f>
        <v>1080</v>
      </c>
      <c r="BS18" s="79">
        <f>BR18*21036</f>
        <v>22718880</v>
      </c>
      <c r="BT18" s="73" t="s">
        <v>342</v>
      </c>
      <c r="BU18" s="8">
        <f t="shared" si="3"/>
        <v>59400</v>
      </c>
      <c r="BV18" s="263">
        <f>J18-(X18+AE18+BN18+AI18+AL18+AP18+AS18+AW18+AZ18+BD18+BR18+AB18)</f>
        <v>0</v>
      </c>
      <c r="BW18" s="237"/>
      <c r="BX18" s="139" t="s">
        <v>395</v>
      </c>
      <c r="BY18" s="139"/>
      <c r="BZ18" s="29">
        <f>J18-X18-AE18-BN18-AL18-AS18-AZ18</f>
        <v>1080</v>
      </c>
      <c r="CA18" s="30">
        <f t="shared" si="7"/>
        <v>-580073</v>
      </c>
      <c r="CB18" s="7" t="s">
        <v>28</v>
      </c>
      <c r="CC18" s="12" t="s">
        <v>276</v>
      </c>
    </row>
    <row r="19" spans="1:98" s="13" customFormat="1" ht="17.100000000000001" customHeight="1" x14ac:dyDescent="0.2">
      <c r="A19" s="16"/>
      <c r="B19" s="16"/>
      <c r="C19" s="16" t="s">
        <v>11</v>
      </c>
      <c r="D19" s="17" t="s">
        <v>12</v>
      </c>
      <c r="E19" s="17"/>
      <c r="F19" s="17"/>
      <c r="G19" s="21" t="s">
        <v>188</v>
      </c>
      <c r="H19" s="21"/>
      <c r="I19" s="12" t="s">
        <v>31</v>
      </c>
      <c r="J19" s="19"/>
      <c r="K19" s="91">
        <v>3300</v>
      </c>
      <c r="L19" s="91">
        <f>J18+K19</f>
        <v>62700</v>
      </c>
      <c r="M19" s="94"/>
      <c r="N19" s="94"/>
      <c r="O19" s="98"/>
      <c r="P19" s="98"/>
      <c r="Q19" s="103"/>
      <c r="R19" s="103"/>
      <c r="S19" s="98"/>
      <c r="T19" s="98"/>
      <c r="U19" s="184">
        <f>J19+K19+M19+O19+Q19+S19</f>
        <v>3300</v>
      </c>
      <c r="V19" s="19"/>
      <c r="W19" s="28">
        <f>V19/K19</f>
        <v>0</v>
      </c>
      <c r="X19" s="8">
        <v>3000</v>
      </c>
      <c r="Y19" s="9"/>
      <c r="Z19" s="55" t="s">
        <v>129</v>
      </c>
      <c r="AA19" s="8">
        <f t="shared" si="4"/>
        <v>0</v>
      </c>
      <c r="AB19" s="8">
        <v>300</v>
      </c>
      <c r="AC19" s="9">
        <f>AB19*20828</f>
        <v>6248400</v>
      </c>
      <c r="AD19" s="9" t="s">
        <v>139</v>
      </c>
      <c r="AE19" s="10"/>
      <c r="AF19" s="20"/>
      <c r="AG19" s="20"/>
      <c r="AH19" s="10"/>
      <c r="AI19" s="10"/>
      <c r="AJ19" s="20"/>
      <c r="AK19" s="20"/>
      <c r="AL19" s="61"/>
      <c r="AM19" s="62"/>
      <c r="AN19" s="62"/>
      <c r="AO19" s="61"/>
      <c r="AP19" s="61"/>
      <c r="AQ19" s="62"/>
      <c r="AR19" s="62"/>
      <c r="AS19" s="8"/>
      <c r="AT19" s="9"/>
      <c r="AU19" s="9"/>
      <c r="AV19" s="8"/>
      <c r="AW19" s="8"/>
      <c r="AX19" s="9"/>
      <c r="AY19" s="9"/>
      <c r="AZ19" s="83"/>
      <c r="BA19" s="84"/>
      <c r="BB19" s="84"/>
      <c r="BC19" s="83"/>
      <c r="BD19" s="83"/>
      <c r="BE19" s="84"/>
      <c r="BF19" s="84"/>
      <c r="BG19" s="281"/>
      <c r="BH19" s="281"/>
      <c r="BI19" s="281"/>
      <c r="BJ19" s="281"/>
      <c r="BK19" s="281"/>
      <c r="BL19" s="281"/>
      <c r="BM19" s="281"/>
      <c r="BN19" s="11"/>
      <c r="BO19" s="79"/>
      <c r="BP19" s="11"/>
      <c r="BQ19" s="11"/>
      <c r="BR19" s="11"/>
      <c r="BS19" s="79"/>
      <c r="BT19" s="11"/>
      <c r="BU19" s="8">
        <f t="shared" si="3"/>
        <v>3300</v>
      </c>
      <c r="BV19" s="263">
        <f>K19-(X19+AE19+BN19+AI19+AL19+AP19+AS19+AW19+AZ19+BD19+BR19+AB19)</f>
        <v>0</v>
      </c>
      <c r="BW19" s="237"/>
      <c r="BX19" s="139" t="s">
        <v>395</v>
      </c>
      <c r="BY19" s="139"/>
      <c r="BZ19" s="29">
        <v>0</v>
      </c>
      <c r="CA19" s="30">
        <f t="shared" si="7"/>
        <v>0</v>
      </c>
      <c r="CB19" s="7"/>
      <c r="CC19" s="12" t="s">
        <v>277</v>
      </c>
    </row>
    <row r="20" spans="1:98" s="13" customFormat="1" ht="36.75" customHeight="1" x14ac:dyDescent="0.2">
      <c r="A20" s="16"/>
      <c r="B20" s="16"/>
      <c r="C20" s="16" t="s">
        <v>11</v>
      </c>
      <c r="D20" s="17" t="s">
        <v>12</v>
      </c>
      <c r="E20" s="17"/>
      <c r="F20" s="17"/>
      <c r="G20" s="21" t="s">
        <v>189</v>
      </c>
      <c r="H20" s="21"/>
      <c r="I20" s="12" t="s">
        <v>64</v>
      </c>
      <c r="J20" s="19"/>
      <c r="K20" s="91"/>
      <c r="L20" s="91"/>
      <c r="M20" s="94"/>
      <c r="N20" s="94"/>
      <c r="O20" s="98">
        <v>22803</v>
      </c>
      <c r="P20" s="98">
        <f>L19+O20</f>
        <v>85503</v>
      </c>
      <c r="Q20" s="103"/>
      <c r="R20" s="103"/>
      <c r="S20" s="98"/>
      <c r="T20" s="98"/>
      <c r="U20" s="184">
        <f t="shared" si="6"/>
        <v>22803</v>
      </c>
      <c r="V20" s="19">
        <f>O20*78.13</f>
        <v>1781598.39</v>
      </c>
      <c r="W20" s="28">
        <f>V20/O20</f>
        <v>78.13</v>
      </c>
      <c r="X20" s="8">
        <v>16418.16</v>
      </c>
      <c r="Y20" s="9">
        <v>1295721</v>
      </c>
      <c r="Z20" s="55" t="s">
        <v>135</v>
      </c>
      <c r="AA20" s="8">
        <f>Y20/X20</f>
        <v>78.919988597991491</v>
      </c>
      <c r="AB20" s="8">
        <f>X20*0.1</f>
        <v>1641.816</v>
      </c>
      <c r="AC20" s="9">
        <f>AB20*20828</f>
        <v>34195743.648000002</v>
      </c>
      <c r="AD20" s="9" t="s">
        <v>139</v>
      </c>
      <c r="AE20" s="10"/>
      <c r="AF20" s="20"/>
      <c r="AG20" s="20"/>
      <c r="AH20" s="10"/>
      <c r="AI20" s="10"/>
      <c r="AJ20" s="20"/>
      <c r="AK20" s="20"/>
      <c r="AL20" s="61"/>
      <c r="AM20" s="62"/>
      <c r="AN20" s="62"/>
      <c r="AO20" s="61"/>
      <c r="AP20" s="61"/>
      <c r="AQ20" s="62"/>
      <c r="AR20" s="62"/>
      <c r="AS20" s="8"/>
      <c r="AT20" s="9"/>
      <c r="AU20" s="9"/>
      <c r="AV20" s="8"/>
      <c r="AW20" s="8"/>
      <c r="AX20" s="9"/>
      <c r="AY20" s="9"/>
      <c r="AZ20" s="83"/>
      <c r="BA20" s="84"/>
      <c r="BB20" s="84"/>
      <c r="BC20" s="83"/>
      <c r="BD20" s="83"/>
      <c r="BE20" s="84"/>
      <c r="BF20" s="84"/>
      <c r="BG20" s="281"/>
      <c r="BH20" s="281"/>
      <c r="BI20" s="281"/>
      <c r="BJ20" s="281"/>
      <c r="BK20" s="281"/>
      <c r="BL20" s="281"/>
      <c r="BM20" s="281"/>
      <c r="BN20" s="11">
        <f>4743.05/1.1</f>
        <v>4311.863636363636</v>
      </c>
      <c r="BO20" s="79">
        <f>BN20*BQ20</f>
        <v>441750.42954545451</v>
      </c>
      <c r="BP20" s="11" t="s">
        <v>339</v>
      </c>
      <c r="BQ20" s="11">
        <v>102.45</v>
      </c>
      <c r="BR20" s="11">
        <f>BN20*0.1</f>
        <v>431.18636363636364</v>
      </c>
      <c r="BS20" s="79">
        <f>BR20*21036-57</f>
        <v>9070379.3454545457</v>
      </c>
      <c r="BT20" s="73" t="s">
        <v>342</v>
      </c>
      <c r="BU20" s="8">
        <f t="shared" si="3"/>
        <v>22803.025999999998</v>
      </c>
      <c r="BV20" s="263">
        <f>O20-(X20+AE20+BN20+AI20+AL20+AP20+AS20+AW20+AZ20+BD20+BR20+AB20)</f>
        <v>-2.599999999802094E-2</v>
      </c>
      <c r="BW20" s="237"/>
      <c r="BX20" s="139" t="s">
        <v>395</v>
      </c>
      <c r="BY20" s="139"/>
      <c r="BZ20" s="29">
        <f>O20-X20-AE20-BN20-AL20-AS20-AZ20</f>
        <v>2072.9763636363641</v>
      </c>
      <c r="CA20" s="30">
        <f t="shared" si="7"/>
        <v>44126.960454545391</v>
      </c>
      <c r="CB20" s="31" t="s">
        <v>278</v>
      </c>
      <c r="CC20" s="12" t="s">
        <v>279</v>
      </c>
      <c r="CD20" s="32"/>
    </row>
    <row r="21" spans="1:98" s="13" customFormat="1" ht="36.75" customHeight="1" x14ac:dyDescent="0.2">
      <c r="A21" s="16"/>
      <c r="B21" s="16"/>
      <c r="C21" s="16" t="s">
        <v>11</v>
      </c>
      <c r="D21" s="17" t="s">
        <v>12</v>
      </c>
      <c r="E21" s="17"/>
      <c r="F21" s="17"/>
      <c r="G21" s="49" t="s">
        <v>186</v>
      </c>
      <c r="H21" s="21"/>
      <c r="I21" s="12" t="s">
        <v>190</v>
      </c>
      <c r="J21" s="28"/>
      <c r="K21" s="80"/>
      <c r="L21" s="80"/>
      <c r="M21" s="95"/>
      <c r="N21" s="95"/>
      <c r="O21" s="99"/>
      <c r="P21" s="99"/>
      <c r="Q21" s="104">
        <v>5938.9</v>
      </c>
      <c r="R21" s="107">
        <f>P20+Q21</f>
        <v>91441.9</v>
      </c>
      <c r="S21" s="99"/>
      <c r="T21" s="99"/>
      <c r="U21" s="184">
        <f t="shared" si="6"/>
        <v>5938.9</v>
      </c>
      <c r="V21" s="19">
        <f>Q21*82.12</f>
        <v>487702.46799999999</v>
      </c>
      <c r="W21" s="28">
        <f>V21/Q21</f>
        <v>82.12</v>
      </c>
      <c r="X21" s="8">
        <f>Q21*0.8/1.1</f>
        <v>4319.2</v>
      </c>
      <c r="Y21" s="9">
        <v>354676</v>
      </c>
      <c r="Z21" s="55" t="s">
        <v>195</v>
      </c>
      <c r="AA21" s="8">
        <f>Y21/X21</f>
        <v>82.116132617151322</v>
      </c>
      <c r="AB21" s="8">
        <f>X21*0.1</f>
        <v>431.92</v>
      </c>
      <c r="AC21" s="9">
        <f>AB21*20828</f>
        <v>8996029.7599999998</v>
      </c>
      <c r="AD21" s="57" t="s">
        <v>208</v>
      </c>
      <c r="AE21" s="10"/>
      <c r="AF21" s="20"/>
      <c r="AG21" s="20"/>
      <c r="AH21" s="10"/>
      <c r="AI21" s="10"/>
      <c r="AJ21" s="20"/>
      <c r="AK21" s="20"/>
      <c r="AL21" s="61"/>
      <c r="AM21" s="62"/>
      <c r="AN21" s="62"/>
      <c r="AO21" s="61"/>
      <c r="AP21" s="61"/>
      <c r="AQ21" s="62"/>
      <c r="AR21" s="62"/>
      <c r="AS21" s="8"/>
      <c r="AT21" s="9"/>
      <c r="AU21" s="9"/>
      <c r="AV21" s="8"/>
      <c r="AW21" s="8"/>
      <c r="AX21" s="9"/>
      <c r="AY21" s="9"/>
      <c r="AZ21" s="83"/>
      <c r="BA21" s="84"/>
      <c r="BB21" s="84"/>
      <c r="BC21" s="83"/>
      <c r="BD21" s="83"/>
      <c r="BE21" s="84"/>
      <c r="BF21" s="84"/>
      <c r="BG21" s="281"/>
      <c r="BH21" s="281"/>
      <c r="BI21" s="281"/>
      <c r="BJ21" s="281"/>
      <c r="BK21" s="281"/>
      <c r="BL21" s="281"/>
      <c r="BM21" s="281"/>
      <c r="BN21" s="11">
        <f>1187.78/1.1</f>
        <v>1079.8</v>
      </c>
      <c r="BO21" s="79">
        <f>BN21*BQ21</f>
        <v>110625.51</v>
      </c>
      <c r="BP21" s="11" t="s">
        <v>339</v>
      </c>
      <c r="BQ21" s="11">
        <v>102.45</v>
      </c>
      <c r="BR21" s="11">
        <f>BN21*0.1</f>
        <v>107.98</v>
      </c>
      <c r="BS21" s="79">
        <f t="shared" ref="BS21" si="9">BR21*21036</f>
        <v>2271467.2800000003</v>
      </c>
      <c r="BT21" s="73" t="s">
        <v>342</v>
      </c>
      <c r="BU21" s="8">
        <f t="shared" si="3"/>
        <v>5938.9</v>
      </c>
      <c r="BV21" s="263">
        <f>Q21-(X21+AE21+BN21+AI21+AL21+AP21+AS21+AW21+AZ21+BD21+BR21+AB21)</f>
        <v>0</v>
      </c>
      <c r="BW21" s="237"/>
      <c r="BX21" s="139" t="s">
        <v>395</v>
      </c>
      <c r="BY21" s="139"/>
      <c r="BZ21" s="29">
        <f>Q21-X21-AE21-BN21-AL21-AS21-AZ21</f>
        <v>539.89999999999986</v>
      </c>
      <c r="CA21" s="30">
        <f t="shared" si="7"/>
        <v>22400.957999999999</v>
      </c>
      <c r="CB21" s="31"/>
      <c r="CC21" s="12" t="s">
        <v>280</v>
      </c>
      <c r="CD21" s="32"/>
    </row>
    <row r="22" spans="1:98" s="13" customFormat="1" ht="36.75" customHeight="1" x14ac:dyDescent="0.2">
      <c r="A22" s="16"/>
      <c r="B22" s="16"/>
      <c r="C22" s="16" t="s">
        <v>11</v>
      </c>
      <c r="D22" s="17" t="s">
        <v>12</v>
      </c>
      <c r="E22" s="17"/>
      <c r="F22" s="17"/>
      <c r="G22" s="49" t="s">
        <v>194</v>
      </c>
      <c r="H22" s="21"/>
      <c r="I22" s="12" t="s">
        <v>193</v>
      </c>
      <c r="J22" s="28"/>
      <c r="K22" s="80"/>
      <c r="L22" s="80"/>
      <c r="M22" s="95"/>
      <c r="N22" s="95"/>
      <c r="O22" s="99"/>
      <c r="P22" s="99"/>
      <c r="Q22" s="104"/>
      <c r="R22" s="104"/>
      <c r="S22" s="99">
        <v>4268.29</v>
      </c>
      <c r="T22" s="99">
        <f>R21+S22</f>
        <v>95710.189999999988</v>
      </c>
      <c r="U22" s="184">
        <f t="shared" si="6"/>
        <v>4268.29</v>
      </c>
      <c r="V22" s="19">
        <f>6845909-V20-V21-V18</f>
        <v>139158.14199999999</v>
      </c>
      <c r="W22" s="28">
        <f>V22/S22</f>
        <v>32.602785190322116</v>
      </c>
      <c r="X22" s="8">
        <f>S22*0.8/1.1</f>
        <v>3104.2109090909089</v>
      </c>
      <c r="Y22" s="9"/>
      <c r="Z22" s="55" t="s">
        <v>209</v>
      </c>
      <c r="AA22" s="8"/>
      <c r="AB22" s="8">
        <f>X22*0.1</f>
        <v>310.42109090909094</v>
      </c>
      <c r="AC22" s="9">
        <f>AB22*20828</f>
        <v>6465450.4814545456</v>
      </c>
      <c r="AD22" s="57" t="s">
        <v>214</v>
      </c>
      <c r="AE22" s="10"/>
      <c r="AF22" s="20"/>
      <c r="AG22" s="20"/>
      <c r="AH22" s="10"/>
      <c r="AI22" s="10"/>
      <c r="AJ22" s="20"/>
      <c r="AK22" s="20"/>
      <c r="AL22" s="61"/>
      <c r="AM22" s="62"/>
      <c r="AN22" s="62"/>
      <c r="AO22" s="61"/>
      <c r="AP22" s="61"/>
      <c r="AQ22" s="62"/>
      <c r="AR22" s="62"/>
      <c r="AS22" s="8"/>
      <c r="AT22" s="9"/>
      <c r="AU22" s="9"/>
      <c r="AV22" s="8"/>
      <c r="AW22" s="8"/>
      <c r="AX22" s="9"/>
      <c r="AY22" s="9"/>
      <c r="AZ22" s="83"/>
      <c r="BA22" s="84"/>
      <c r="BB22" s="84"/>
      <c r="BC22" s="83"/>
      <c r="BD22" s="83"/>
      <c r="BE22" s="84"/>
      <c r="BF22" s="84"/>
      <c r="BG22" s="281"/>
      <c r="BH22" s="281"/>
      <c r="BI22" s="281"/>
      <c r="BJ22" s="281"/>
      <c r="BK22" s="281"/>
      <c r="BL22" s="281"/>
      <c r="BM22" s="281"/>
      <c r="BN22" s="11">
        <f>853.66/1.1</f>
        <v>776.0545454545454</v>
      </c>
      <c r="BO22" s="79">
        <f>1737831-BO21-BO20-BO18</f>
        <v>78995.060454545543</v>
      </c>
      <c r="BP22" s="11" t="s">
        <v>339</v>
      </c>
      <c r="BQ22" s="11">
        <v>102.45</v>
      </c>
      <c r="BR22" s="11">
        <f>BN22*0.1</f>
        <v>77.605454545454549</v>
      </c>
      <c r="BS22" s="79">
        <f>BR22*21036-9</f>
        <v>1632499.3418181818</v>
      </c>
      <c r="BT22" s="73" t="s">
        <v>342</v>
      </c>
      <c r="BU22" s="8">
        <f t="shared" si="3"/>
        <v>4268.2919999999995</v>
      </c>
      <c r="BV22" s="263">
        <f>S22-(X22+AE22+BN22+AI22+AL22+AP22+AS22+AW22+AZ22+BD22+BR22+AB22)</f>
        <v>-1.9999999994979589E-3</v>
      </c>
      <c r="BW22" s="237"/>
      <c r="BX22" s="139" t="s">
        <v>395</v>
      </c>
      <c r="BY22" s="139"/>
      <c r="BZ22" s="29">
        <f>S22-X22-AE22-BN22-AL22-AS22-AZ22</f>
        <v>388.02454545454566</v>
      </c>
      <c r="CA22" s="30">
        <f>V22-Y22-AF22-AM22-AT22-BA22-BO22</f>
        <v>60163.08154545445</v>
      </c>
      <c r="CB22" s="31"/>
      <c r="CC22" s="12" t="s">
        <v>281</v>
      </c>
      <c r="CD22" s="32"/>
    </row>
    <row r="23" spans="1:98" s="13" customFormat="1" ht="49.5" customHeight="1" x14ac:dyDescent="0.2">
      <c r="A23" s="22" t="s">
        <v>187</v>
      </c>
      <c r="B23" s="22" t="s">
        <v>165</v>
      </c>
      <c r="C23" s="22" t="s">
        <v>74</v>
      </c>
      <c r="D23" s="33" t="s">
        <v>9</v>
      </c>
      <c r="E23" s="33"/>
      <c r="F23" s="33"/>
      <c r="G23" s="151" t="s">
        <v>318</v>
      </c>
      <c r="H23" s="22"/>
      <c r="I23" s="35" t="s">
        <v>164</v>
      </c>
      <c r="J23" s="36">
        <v>23540</v>
      </c>
      <c r="K23" s="92"/>
      <c r="L23" s="92"/>
      <c r="M23" s="96"/>
      <c r="N23" s="96"/>
      <c r="O23" s="100"/>
      <c r="P23" s="100"/>
      <c r="Q23" s="105"/>
      <c r="R23" s="105"/>
      <c r="S23" s="100"/>
      <c r="T23" s="100"/>
      <c r="U23" s="184">
        <f t="shared" si="6"/>
        <v>23540</v>
      </c>
      <c r="V23" s="36">
        <f>1682040*1.1</f>
        <v>1850244.0000000002</v>
      </c>
      <c r="W23" s="28">
        <f>V23/J23</f>
        <v>78.600000000000009</v>
      </c>
      <c r="X23" s="37">
        <f>J23*0.4/1.1</f>
        <v>8560</v>
      </c>
      <c r="Y23" s="38">
        <v>672816</v>
      </c>
      <c r="Z23" s="54">
        <v>41223</v>
      </c>
      <c r="AA23" s="8">
        <f>Y23/X23</f>
        <v>78.599999999999994</v>
      </c>
      <c r="AB23" s="37">
        <f>X23*0.1</f>
        <v>856</v>
      </c>
      <c r="AC23" s="38">
        <f>AB23*20828</f>
        <v>17828768</v>
      </c>
      <c r="AD23" s="59" t="s">
        <v>176</v>
      </c>
      <c r="AE23" s="39">
        <f>J23/1.1*0.4</f>
        <v>8560</v>
      </c>
      <c r="AF23" s="40">
        <v>741125</v>
      </c>
      <c r="AG23" s="67" t="s">
        <v>199</v>
      </c>
      <c r="AH23" s="39">
        <f>AF23/AE23</f>
        <v>86.580023364485982</v>
      </c>
      <c r="AI23" s="39">
        <f>AE23*0.1</f>
        <v>856</v>
      </c>
      <c r="AJ23" s="40">
        <f>AI23*20828</f>
        <v>17828768</v>
      </c>
      <c r="AK23" s="67" t="s">
        <v>210</v>
      </c>
      <c r="AL23" s="64">
        <f>4708/1.1</f>
        <v>4280</v>
      </c>
      <c r="AM23" s="65">
        <v>421623</v>
      </c>
      <c r="AN23" s="142" t="s">
        <v>313</v>
      </c>
      <c r="AO23" s="64">
        <f>AM23/AL23</f>
        <v>98.510046728971957</v>
      </c>
      <c r="AP23" s="64">
        <f>AL23*0.1</f>
        <v>428</v>
      </c>
      <c r="AQ23" s="65">
        <f>AP23*21036</f>
        <v>9003408</v>
      </c>
      <c r="AR23" s="65" t="s">
        <v>324</v>
      </c>
      <c r="AS23" s="37"/>
      <c r="AT23" s="38"/>
      <c r="AU23" s="38"/>
      <c r="AV23" s="37"/>
      <c r="AW23" s="37"/>
      <c r="AX23" s="38"/>
      <c r="AY23" s="38"/>
      <c r="AZ23" s="85"/>
      <c r="BA23" s="86"/>
      <c r="BB23" s="86"/>
      <c r="BC23" s="85"/>
      <c r="BD23" s="85"/>
      <c r="BE23" s="86"/>
      <c r="BF23" s="86"/>
      <c r="BG23" s="282"/>
      <c r="BH23" s="282"/>
      <c r="BI23" s="282"/>
      <c r="BJ23" s="282"/>
      <c r="BK23" s="282"/>
      <c r="BL23" s="282"/>
      <c r="BM23" s="282"/>
      <c r="BN23" s="152"/>
      <c r="BO23" s="154"/>
      <c r="BP23" s="152"/>
      <c r="BQ23" s="152"/>
      <c r="BR23" s="152"/>
      <c r="BS23" s="154"/>
      <c r="BT23" s="152"/>
      <c r="BU23" s="8">
        <f t="shared" si="3"/>
        <v>23540</v>
      </c>
      <c r="BV23" s="263">
        <f>J23-(X23+AE23+BN23+AI23+AL23+AP23+AS23+AW23+AZ23+BD23+BR23+AB23)</f>
        <v>0</v>
      </c>
      <c r="BW23" s="237"/>
      <c r="BX23" s="139" t="s">
        <v>395</v>
      </c>
      <c r="BY23" s="139"/>
      <c r="BZ23" s="29">
        <f>J23-X23-AE23-BN23-AL23-AS23-AZ23</f>
        <v>2140</v>
      </c>
      <c r="CA23" s="30">
        <f>V23/1.1-Y23-AF23-BO23-AM23-AT23-BA23</f>
        <v>-153524</v>
      </c>
      <c r="CB23" s="42"/>
      <c r="CC23" s="7" t="s">
        <v>276</v>
      </c>
    </row>
    <row r="24" spans="1:98" s="13" customFormat="1" ht="17.100000000000001" customHeight="1" x14ac:dyDescent="0.2">
      <c r="A24" s="356" t="s">
        <v>204</v>
      </c>
      <c r="B24" s="357"/>
      <c r="C24" s="357"/>
      <c r="D24" s="357"/>
      <c r="E24" s="357"/>
      <c r="F24" s="357"/>
      <c r="G24" s="357"/>
      <c r="H24" s="357"/>
      <c r="I24" s="358"/>
      <c r="J24" s="51">
        <f>SUM(J25:J27)</f>
        <v>74810</v>
      </c>
      <c r="K24" s="51">
        <f t="shared" ref="K24:CB24" si="10">SUM(K25:K27)</f>
        <v>0</v>
      </c>
      <c r="L24" s="51">
        <f t="shared" si="10"/>
        <v>0</v>
      </c>
      <c r="M24" s="51">
        <f t="shared" si="10"/>
        <v>0</v>
      </c>
      <c r="N24" s="51">
        <f t="shared" si="10"/>
        <v>0</v>
      </c>
      <c r="O24" s="51">
        <f t="shared" si="10"/>
        <v>0</v>
      </c>
      <c r="P24" s="51">
        <f t="shared" si="10"/>
        <v>0</v>
      </c>
      <c r="Q24" s="51">
        <f t="shared" si="10"/>
        <v>0</v>
      </c>
      <c r="R24" s="51">
        <f t="shared" si="10"/>
        <v>0</v>
      </c>
      <c r="S24" s="51">
        <f t="shared" si="10"/>
        <v>0</v>
      </c>
      <c r="T24" s="51">
        <f>SUM(T25:T27)</f>
        <v>0</v>
      </c>
      <c r="U24" s="51">
        <f>SUM(U25:U27)</f>
        <v>74810</v>
      </c>
      <c r="V24" s="51">
        <f t="shared" si="10"/>
        <v>7523413</v>
      </c>
      <c r="W24" s="51">
        <f t="shared" si="10"/>
        <v>70.772582103043092</v>
      </c>
      <c r="X24" s="51">
        <f t="shared" si="10"/>
        <v>29924</v>
      </c>
      <c r="Y24" s="51">
        <f t="shared" si="10"/>
        <v>3155881</v>
      </c>
      <c r="Z24" s="51">
        <f t="shared" si="10"/>
        <v>41154</v>
      </c>
      <c r="AA24" s="51">
        <f t="shared" si="10"/>
        <v>78.130009038867129</v>
      </c>
      <c r="AB24" s="51">
        <f t="shared" si="10"/>
        <v>0</v>
      </c>
      <c r="AC24" s="51">
        <f t="shared" si="10"/>
        <v>0</v>
      </c>
      <c r="AD24" s="51">
        <f t="shared" si="10"/>
        <v>0</v>
      </c>
      <c r="AE24" s="51">
        <f t="shared" si="10"/>
        <v>28113.636363636364</v>
      </c>
      <c r="AF24" s="51">
        <f t="shared" si="10"/>
        <v>3028739</v>
      </c>
      <c r="AG24" s="51">
        <f t="shared" si="10"/>
        <v>0</v>
      </c>
      <c r="AH24" s="51">
        <f t="shared" si="10"/>
        <v>78.920001004318564</v>
      </c>
      <c r="AI24" s="51">
        <f t="shared" si="10"/>
        <v>1810.3636363636365</v>
      </c>
      <c r="AJ24" s="51">
        <f t="shared" si="10"/>
        <v>37706261</v>
      </c>
      <c r="AK24" s="51">
        <f t="shared" si="10"/>
        <v>0</v>
      </c>
      <c r="AL24" s="51">
        <f t="shared" si="10"/>
        <v>0</v>
      </c>
      <c r="AM24" s="51">
        <f t="shared" si="10"/>
        <v>0</v>
      </c>
      <c r="AN24" s="51">
        <f t="shared" si="10"/>
        <v>0</v>
      </c>
      <c r="AO24" s="51">
        <f t="shared" si="10"/>
        <v>0</v>
      </c>
      <c r="AP24" s="51">
        <f t="shared" si="10"/>
        <v>0</v>
      </c>
      <c r="AQ24" s="51">
        <f t="shared" si="10"/>
        <v>0</v>
      </c>
      <c r="AR24" s="51">
        <f>SUM(AR25:AR27)</f>
        <v>0</v>
      </c>
      <c r="AS24" s="51">
        <f t="shared" ref="AS24:BE24" si="11">SUM(AS25:AS27)</f>
        <v>0</v>
      </c>
      <c r="AT24" s="51">
        <f t="shared" si="11"/>
        <v>0</v>
      </c>
      <c r="AU24" s="51">
        <f t="shared" si="11"/>
        <v>0</v>
      </c>
      <c r="AV24" s="51">
        <f t="shared" si="11"/>
        <v>0</v>
      </c>
      <c r="AW24" s="51">
        <f t="shared" si="11"/>
        <v>0</v>
      </c>
      <c r="AX24" s="51">
        <f t="shared" si="11"/>
        <v>0</v>
      </c>
      <c r="AY24" s="51">
        <f t="shared" si="11"/>
        <v>0</v>
      </c>
      <c r="AZ24" s="51">
        <f t="shared" si="11"/>
        <v>0</v>
      </c>
      <c r="BA24" s="51">
        <f t="shared" si="11"/>
        <v>0</v>
      </c>
      <c r="BB24" s="51">
        <f t="shared" si="11"/>
        <v>0</v>
      </c>
      <c r="BC24" s="51">
        <f t="shared" si="11"/>
        <v>0</v>
      </c>
      <c r="BD24" s="51">
        <f t="shared" si="11"/>
        <v>0</v>
      </c>
      <c r="BE24" s="51">
        <f t="shared" si="11"/>
        <v>0</v>
      </c>
      <c r="BF24" s="51">
        <f>SUM(BF25:BF27)</f>
        <v>0</v>
      </c>
      <c r="BG24" s="51">
        <f t="shared" ref="BG24:BN24" si="12">SUM(BG25:BG27)</f>
        <v>0</v>
      </c>
      <c r="BH24" s="51">
        <f t="shared" si="12"/>
        <v>0</v>
      </c>
      <c r="BI24" s="51">
        <f t="shared" si="12"/>
        <v>0</v>
      </c>
      <c r="BJ24" s="51">
        <f t="shared" si="12"/>
        <v>0</v>
      </c>
      <c r="BK24" s="51">
        <f t="shared" si="12"/>
        <v>0</v>
      </c>
      <c r="BL24" s="51">
        <f t="shared" si="12"/>
        <v>0</v>
      </c>
      <c r="BM24" s="51">
        <f t="shared" si="12"/>
        <v>0</v>
      </c>
      <c r="BN24" s="51">
        <f t="shared" si="12"/>
        <v>14056.82</v>
      </c>
      <c r="BO24" s="51">
        <f t="shared" si="10"/>
        <v>1089115</v>
      </c>
      <c r="BP24" s="51">
        <f t="shared" si="10"/>
        <v>0</v>
      </c>
      <c r="BQ24" s="51"/>
      <c r="BR24" s="51">
        <f>SUM(BR25:BR27)</f>
        <v>905.18</v>
      </c>
      <c r="BS24" s="51">
        <f t="shared" ref="BS24:BU24" si="13">SUM(BS25:BS27)</f>
        <v>19423395</v>
      </c>
      <c r="BT24" s="51">
        <f t="shared" si="13"/>
        <v>0</v>
      </c>
      <c r="BU24" s="51">
        <f t="shared" si="13"/>
        <v>74810</v>
      </c>
      <c r="BV24" s="51">
        <f>SUM(BV25:BV27)</f>
        <v>0</v>
      </c>
      <c r="BW24" s="236"/>
      <c r="BX24" s="51"/>
      <c r="BY24" s="51"/>
      <c r="BZ24" s="51">
        <f t="shared" si="10"/>
        <v>2715.5436363636363</v>
      </c>
      <c r="CA24" s="51">
        <f t="shared" si="10"/>
        <v>249678</v>
      </c>
      <c r="CB24" s="51">
        <f t="shared" si="10"/>
        <v>0</v>
      </c>
      <c r="CC24" s="51">
        <f t="shared" ref="CC24" si="14">SUM(CC25:CC27)</f>
        <v>0</v>
      </c>
    </row>
    <row r="25" spans="1:98" s="13" customFormat="1" ht="54" customHeight="1" x14ac:dyDescent="0.2">
      <c r="A25" s="16">
        <v>1</v>
      </c>
      <c r="B25" s="16" t="s">
        <v>372</v>
      </c>
      <c r="C25" s="16" t="s">
        <v>1</v>
      </c>
      <c r="D25" s="17" t="s">
        <v>2</v>
      </c>
      <c r="E25" s="17"/>
      <c r="F25" s="17"/>
      <c r="G25" s="21">
        <v>40673</v>
      </c>
      <c r="H25" s="21" t="s">
        <v>47</v>
      </c>
      <c r="I25" s="12" t="s">
        <v>13</v>
      </c>
      <c r="J25" s="19">
        <v>49785</v>
      </c>
      <c r="K25" s="91"/>
      <c r="L25" s="91"/>
      <c r="M25" s="94"/>
      <c r="N25" s="94"/>
      <c r="O25" s="98"/>
      <c r="P25" s="98"/>
      <c r="Q25" s="103"/>
      <c r="R25" s="103"/>
      <c r="S25" s="98"/>
      <c r="T25" s="98"/>
      <c r="U25" s="184">
        <f t="shared" si="6"/>
        <v>49785</v>
      </c>
      <c r="V25" s="19">
        <v>3523413</v>
      </c>
      <c r="W25" s="28">
        <f>V25/J25</f>
        <v>70.772582103043092</v>
      </c>
      <c r="X25" s="8">
        <v>19914</v>
      </c>
      <c r="Y25" s="9">
        <v>1555881</v>
      </c>
      <c r="Z25" s="53" t="s">
        <v>130</v>
      </c>
      <c r="AA25" s="8">
        <f>Y25/X25</f>
        <v>78.130009038867129</v>
      </c>
      <c r="AB25" s="8"/>
      <c r="AC25" s="9"/>
      <c r="AD25" s="9"/>
      <c r="AE25" s="10">
        <f>X25/1.1</f>
        <v>18103.636363636364</v>
      </c>
      <c r="AF25" s="20">
        <v>1428739</v>
      </c>
      <c r="AG25" s="20" t="s">
        <v>142</v>
      </c>
      <c r="AH25" s="10">
        <f>AF25/AE25</f>
        <v>78.920001004318564</v>
      </c>
      <c r="AI25" s="10">
        <f>AE25*0.1</f>
        <v>1810.3636363636365</v>
      </c>
      <c r="AJ25" s="20">
        <v>37706261</v>
      </c>
      <c r="AK25" s="20" t="s">
        <v>140</v>
      </c>
      <c r="AL25" s="61"/>
      <c r="AM25" s="62"/>
      <c r="AN25" s="62"/>
      <c r="AO25" s="61"/>
      <c r="AP25" s="61"/>
      <c r="AQ25" s="62"/>
      <c r="AR25" s="62"/>
      <c r="AS25" s="8"/>
      <c r="AT25" s="9"/>
      <c r="AU25" s="9"/>
      <c r="AV25" s="8"/>
      <c r="AW25" s="8"/>
      <c r="AX25" s="9"/>
      <c r="AY25" s="9"/>
      <c r="AZ25" s="83"/>
      <c r="BA25" s="84"/>
      <c r="BB25" s="84"/>
      <c r="BC25" s="83"/>
      <c r="BD25" s="83"/>
      <c r="BE25" s="84"/>
      <c r="BF25" s="84"/>
      <c r="BG25" s="281"/>
      <c r="BH25" s="281"/>
      <c r="BI25" s="281"/>
      <c r="BJ25" s="281"/>
      <c r="BK25" s="281"/>
      <c r="BL25" s="281"/>
      <c r="BM25" s="281"/>
      <c r="BN25" s="293">
        <v>9051.82</v>
      </c>
      <c r="BO25" s="294">
        <v>1089115</v>
      </c>
      <c r="BP25" s="293" t="s">
        <v>402</v>
      </c>
      <c r="BQ25" s="293">
        <f>BO25/BN25</f>
        <v>120.32000194436037</v>
      </c>
      <c r="BR25" s="293">
        <v>905.18</v>
      </c>
      <c r="BS25" s="294">
        <v>19423395</v>
      </c>
      <c r="BT25" s="293" t="s">
        <v>403</v>
      </c>
      <c r="BU25" s="8">
        <f>X25+AB25+AE25+AI25+AL25+AP25+AS25+AW25+AZ25+BD25+BN25+BR25</f>
        <v>49785.000000000007</v>
      </c>
      <c r="BV25" s="263">
        <f>J25-(X25+AE25+BN25+AI25+AL25+AP25+AS25+AW25+AZ25+BD25+BR25+AB25)</f>
        <v>0</v>
      </c>
      <c r="BW25" s="237" t="s">
        <v>362</v>
      </c>
      <c r="BX25" s="139" t="s">
        <v>395</v>
      </c>
      <c r="BY25" s="140" t="s">
        <v>320</v>
      </c>
      <c r="BZ25" s="29">
        <f>J25-X25-AE25-BN25-AL25-AS25-AZ25</f>
        <v>2715.5436363636363</v>
      </c>
      <c r="CA25" s="30">
        <f>V25-Y25-AF25-AM25-AT25-BA25-BO25</f>
        <v>-550322</v>
      </c>
      <c r="CB25" s="7"/>
      <c r="CC25" s="7" t="s">
        <v>276</v>
      </c>
    </row>
    <row r="26" spans="1:98" s="121" customFormat="1" ht="55.5" customHeight="1" x14ac:dyDescent="0.2">
      <c r="A26" s="114">
        <v>2</v>
      </c>
      <c r="B26" s="114"/>
      <c r="C26" s="114" t="s">
        <v>15</v>
      </c>
      <c r="D26" s="115" t="s">
        <v>16</v>
      </c>
      <c r="E26" s="115" t="s">
        <v>19</v>
      </c>
      <c r="F26" s="115"/>
      <c r="G26" s="114" t="s">
        <v>17</v>
      </c>
      <c r="H26" s="114" t="s">
        <v>45</v>
      </c>
      <c r="I26" s="116" t="s">
        <v>18</v>
      </c>
      <c r="J26" s="79">
        <v>25025</v>
      </c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184">
        <f t="shared" si="6"/>
        <v>25025</v>
      </c>
      <c r="V26" s="79"/>
      <c r="W26" s="11">
        <f>V26/J26</f>
        <v>0</v>
      </c>
      <c r="X26" s="11">
        <v>10010</v>
      </c>
      <c r="Y26" s="79"/>
      <c r="Z26" s="122">
        <v>41154</v>
      </c>
      <c r="AA26" s="11">
        <f t="shared" si="4"/>
        <v>0</v>
      </c>
      <c r="AB26" s="11"/>
      <c r="AC26" s="79"/>
      <c r="AD26" s="79"/>
      <c r="AE26" s="11">
        <v>10010</v>
      </c>
      <c r="AF26" s="79"/>
      <c r="AG26" s="79" t="s">
        <v>134</v>
      </c>
      <c r="AH26" s="11">
        <f t="shared" si="5"/>
        <v>0</v>
      </c>
      <c r="AI26" s="11"/>
      <c r="AJ26" s="79"/>
      <c r="AK26" s="79"/>
      <c r="AL26" s="11"/>
      <c r="AM26" s="79"/>
      <c r="AN26" s="79"/>
      <c r="AO26" s="11"/>
      <c r="AP26" s="11"/>
      <c r="AQ26" s="79"/>
      <c r="AR26" s="79"/>
      <c r="AS26" s="11"/>
      <c r="AT26" s="79"/>
      <c r="AU26" s="79"/>
      <c r="AV26" s="11"/>
      <c r="AW26" s="11"/>
      <c r="AX26" s="79"/>
      <c r="AY26" s="79"/>
      <c r="AZ26" s="11"/>
      <c r="BA26" s="79"/>
      <c r="BB26" s="79"/>
      <c r="BC26" s="11"/>
      <c r="BD26" s="11"/>
      <c r="BE26" s="79"/>
      <c r="BF26" s="79"/>
      <c r="BG26" s="281"/>
      <c r="BH26" s="281"/>
      <c r="BI26" s="281"/>
      <c r="BJ26" s="281"/>
      <c r="BK26" s="281"/>
      <c r="BL26" s="281"/>
      <c r="BM26" s="281"/>
      <c r="BN26" s="11">
        <v>5005</v>
      </c>
      <c r="BO26" s="79"/>
      <c r="BP26" s="11" t="s">
        <v>137</v>
      </c>
      <c r="BQ26" s="11"/>
      <c r="BR26" s="11"/>
      <c r="BS26" s="79"/>
      <c r="BT26" s="11"/>
      <c r="BU26" s="8">
        <f>X26+AB26+AE26+AI26+AL26+AP26+AS26+AW26+AZ26+BD26+BN26+BR26</f>
        <v>25025</v>
      </c>
      <c r="BV26" s="263">
        <f>J26-(X26+AE26+BN26+AI26+AL26+AP26+AS26+AW26+AZ26+BD26+BR26+AB26)</f>
        <v>0</v>
      </c>
      <c r="BW26" s="237"/>
      <c r="BX26" s="139" t="s">
        <v>395</v>
      </c>
      <c r="BY26" s="139"/>
      <c r="BZ26" s="118">
        <f>J26-X26-AE26-BN26-AL26-AS26-AZ26</f>
        <v>0</v>
      </c>
      <c r="CA26" s="119">
        <f>V26-Y26-AF26-AM26-AT26-BA26-BO26</f>
        <v>0</v>
      </c>
      <c r="CB26" s="115" t="s">
        <v>39</v>
      </c>
      <c r="CC26" s="120" t="s">
        <v>125</v>
      </c>
    </row>
    <row r="27" spans="1:98" s="13" customFormat="1" ht="17.100000000000001" customHeight="1" x14ac:dyDescent="0.2">
      <c r="A27" s="223">
        <v>3</v>
      </c>
      <c r="B27" s="223"/>
      <c r="C27" s="223" t="s">
        <v>32</v>
      </c>
      <c r="D27" s="224" t="s">
        <v>33</v>
      </c>
      <c r="E27" s="224"/>
      <c r="F27" s="224"/>
      <c r="G27" s="223" t="s">
        <v>34</v>
      </c>
      <c r="H27" s="223" t="s">
        <v>44</v>
      </c>
      <c r="I27" s="225" t="s">
        <v>35</v>
      </c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7">
        <f t="shared" si="6"/>
        <v>0</v>
      </c>
      <c r="V27" s="226">
        <v>4000000</v>
      </c>
      <c r="W27" s="228"/>
      <c r="X27" s="228"/>
      <c r="Y27" s="226">
        <f>V27*0.4</f>
        <v>1600000</v>
      </c>
      <c r="Z27" s="229"/>
      <c r="AA27" s="228"/>
      <c r="AB27" s="228"/>
      <c r="AC27" s="226"/>
      <c r="AD27" s="226"/>
      <c r="AE27" s="228"/>
      <c r="AF27" s="226">
        <f>V27*0.4</f>
        <v>1600000</v>
      </c>
      <c r="AG27" s="226"/>
      <c r="AH27" s="228"/>
      <c r="AI27" s="228"/>
      <c r="AJ27" s="226"/>
      <c r="AK27" s="226"/>
      <c r="AL27" s="228"/>
      <c r="AM27" s="226"/>
      <c r="AN27" s="226"/>
      <c r="AO27" s="228"/>
      <c r="AP27" s="228"/>
      <c r="AQ27" s="226"/>
      <c r="AR27" s="226"/>
      <c r="AS27" s="228"/>
      <c r="AT27" s="226"/>
      <c r="AU27" s="226"/>
      <c r="AV27" s="228"/>
      <c r="AW27" s="228"/>
      <c r="AX27" s="226"/>
      <c r="AY27" s="226"/>
      <c r="AZ27" s="228"/>
      <c r="BA27" s="226"/>
      <c r="BB27" s="226"/>
      <c r="BC27" s="228"/>
      <c r="BD27" s="228"/>
      <c r="BE27" s="226"/>
      <c r="BF27" s="226"/>
      <c r="BG27" s="226"/>
      <c r="BH27" s="226"/>
      <c r="BI27" s="226"/>
      <c r="BJ27" s="226"/>
      <c r="BK27" s="226"/>
      <c r="BL27" s="226"/>
      <c r="BM27" s="226"/>
      <c r="BN27" s="228"/>
      <c r="BO27" s="226"/>
      <c r="BP27" s="228"/>
      <c r="BQ27" s="228"/>
      <c r="BR27" s="228"/>
      <c r="BS27" s="226"/>
      <c r="BT27" s="228"/>
      <c r="BU27" s="228">
        <f>X27+AB27+AE27+AI27+AL27+AP27+AS27+AW27+AZ27+BD27+BN27+BR27</f>
        <v>0</v>
      </c>
      <c r="BV27" s="228">
        <f>J27-(X27+AE27+BN27+AI27+AL27+AP27+AS27+AW27+AZ27+BD27+BR27+AB27)</f>
        <v>0</v>
      </c>
      <c r="BW27" s="237"/>
      <c r="BX27" s="230" t="s">
        <v>301</v>
      </c>
      <c r="BY27" s="230"/>
      <c r="BZ27" s="29">
        <f>J27-X27-AE27-BN27-AL27-AS27-AZ27</f>
        <v>0</v>
      </c>
      <c r="CA27" s="30">
        <f>V27-Y27-AF27-AM27-AT27-BA27-BO27</f>
        <v>800000</v>
      </c>
      <c r="CB27" s="7" t="s">
        <v>99</v>
      </c>
      <c r="CC27" s="12"/>
    </row>
    <row r="28" spans="1:98" s="13" customFormat="1" ht="17.100000000000001" customHeight="1" x14ac:dyDescent="0.2">
      <c r="A28" s="356" t="s">
        <v>205</v>
      </c>
      <c r="B28" s="357"/>
      <c r="C28" s="357"/>
      <c r="D28" s="357"/>
      <c r="E28" s="357"/>
      <c r="F28" s="357"/>
      <c r="G28" s="357"/>
      <c r="H28" s="357"/>
      <c r="I28" s="358"/>
      <c r="J28" s="51">
        <f>SUM(J29:J53)</f>
        <v>1582751</v>
      </c>
      <c r="K28" s="51">
        <f t="shared" ref="K28:CC28" si="15">SUM(K29:K53)</f>
        <v>279881.88999999996</v>
      </c>
      <c r="L28" s="51">
        <f>K28+J28</f>
        <v>1862632.89</v>
      </c>
      <c r="M28" s="51">
        <f>SUM(M29:M53)</f>
        <v>231831</v>
      </c>
      <c r="N28" s="51">
        <f>M28+L28</f>
        <v>2094463.89</v>
      </c>
      <c r="O28" s="51">
        <f>SUM(O29:O53)</f>
        <v>20790</v>
      </c>
      <c r="P28" s="51">
        <f>O28+N28</f>
        <v>2115253.8899999997</v>
      </c>
      <c r="Q28" s="51">
        <f t="shared" si="15"/>
        <v>0</v>
      </c>
      <c r="R28" s="51">
        <f t="shared" si="15"/>
        <v>0</v>
      </c>
      <c r="S28" s="51">
        <f t="shared" si="15"/>
        <v>0</v>
      </c>
      <c r="T28" s="51">
        <f>SUM(T29:T53)</f>
        <v>0</v>
      </c>
      <c r="U28" s="51">
        <f>SUM(U29:U53)</f>
        <v>2115253.89</v>
      </c>
      <c r="V28" s="51">
        <f t="shared" si="15"/>
        <v>168923425.39999998</v>
      </c>
      <c r="W28" s="51">
        <f t="shared" si="15"/>
        <v>2058.505101836558</v>
      </c>
      <c r="X28" s="51">
        <f t="shared" si="15"/>
        <v>581229.26181818184</v>
      </c>
      <c r="Y28" s="51">
        <f t="shared" si="15"/>
        <v>46650710</v>
      </c>
      <c r="Z28" s="51">
        <f t="shared" si="15"/>
        <v>82446</v>
      </c>
      <c r="AA28" s="51">
        <f t="shared" si="15"/>
        <v>1941.8995932211417</v>
      </c>
      <c r="AB28" s="51">
        <f t="shared" si="15"/>
        <v>58122.926181818184</v>
      </c>
      <c r="AC28" s="51">
        <f t="shared" si="15"/>
        <v>1210926487.3149092</v>
      </c>
      <c r="AD28" s="51">
        <f t="shared" si="15"/>
        <v>0</v>
      </c>
      <c r="AE28" s="51">
        <f t="shared" si="15"/>
        <v>519598.90090909094</v>
      </c>
      <c r="AF28" s="51">
        <f t="shared" si="15"/>
        <v>43332273</v>
      </c>
      <c r="AG28" s="51">
        <f t="shared" si="15"/>
        <v>0</v>
      </c>
      <c r="AH28" s="51">
        <f t="shared" si="15"/>
        <v>2133.4286753565257</v>
      </c>
      <c r="AI28" s="51">
        <f t="shared" si="15"/>
        <v>47479.754090909089</v>
      </c>
      <c r="AJ28" s="51">
        <f t="shared" si="15"/>
        <v>989998310.84181809</v>
      </c>
      <c r="AK28" s="51">
        <f t="shared" si="15"/>
        <v>0</v>
      </c>
      <c r="AL28" s="51">
        <f t="shared" si="15"/>
        <v>287463.08454545448</v>
      </c>
      <c r="AM28" s="51">
        <f t="shared" si="15"/>
        <v>28454059</v>
      </c>
      <c r="AN28" s="51">
        <f t="shared" si="15"/>
        <v>0</v>
      </c>
      <c r="AO28" s="51">
        <f t="shared" si="15"/>
        <v>1784.2935995327937</v>
      </c>
      <c r="AP28" s="51">
        <f t="shared" si="15"/>
        <v>28746.308454545455</v>
      </c>
      <c r="AQ28" s="51">
        <f t="shared" si="15"/>
        <v>603648140.63381815</v>
      </c>
      <c r="AR28" s="51">
        <f t="shared" si="15"/>
        <v>0</v>
      </c>
      <c r="AS28" s="51">
        <f t="shared" si="15"/>
        <v>95000.14</v>
      </c>
      <c r="AT28" s="51">
        <f t="shared" si="15"/>
        <v>9474495</v>
      </c>
      <c r="AU28" s="51">
        <f t="shared" si="15"/>
        <v>0</v>
      </c>
      <c r="AV28" s="51">
        <f t="shared" si="15"/>
        <v>597.22834137956977</v>
      </c>
      <c r="AW28" s="51">
        <f t="shared" si="15"/>
        <v>9500.0139999999992</v>
      </c>
      <c r="AX28" s="51">
        <f t="shared" si="15"/>
        <v>199048698.792</v>
      </c>
      <c r="AY28" s="51">
        <f t="shared" si="15"/>
        <v>0</v>
      </c>
      <c r="AZ28" s="51">
        <f t="shared" si="15"/>
        <v>144256.13636363635</v>
      </c>
      <c r="BA28" s="51">
        <f t="shared" si="15"/>
        <v>14725951</v>
      </c>
      <c r="BB28" s="51">
        <f t="shared" si="15"/>
        <v>0</v>
      </c>
      <c r="BC28" s="51">
        <f t="shared" si="15"/>
        <v>309.13005465581836</v>
      </c>
      <c r="BD28" s="51">
        <f t="shared" si="15"/>
        <v>14425.613636363634</v>
      </c>
      <c r="BE28" s="51">
        <f t="shared" si="15"/>
        <v>305487908.45454544</v>
      </c>
      <c r="BF28" s="51">
        <f>SUM(BF29:BF53)</f>
        <v>0</v>
      </c>
      <c r="BG28" s="51">
        <f t="shared" ref="BG28:BM28" si="16">SUM(BG29:BG53)</f>
        <v>48349.63636363636</v>
      </c>
      <c r="BH28" s="51">
        <f t="shared" si="16"/>
        <v>5286550</v>
      </c>
      <c r="BI28" s="51">
        <f t="shared" si="16"/>
        <v>0</v>
      </c>
      <c r="BJ28" s="51">
        <f t="shared" si="16"/>
        <v>109.34001571883591</v>
      </c>
      <c r="BK28" s="51">
        <f t="shared" si="16"/>
        <v>4834.9636363636364</v>
      </c>
      <c r="BL28" s="51">
        <f t="shared" si="16"/>
        <v>102723637.41818182</v>
      </c>
      <c r="BM28" s="51">
        <f t="shared" si="16"/>
        <v>0</v>
      </c>
      <c r="BN28" s="51">
        <f t="shared" si="15"/>
        <v>53901.820000000007</v>
      </c>
      <c r="BO28" s="51">
        <f t="shared" si="15"/>
        <v>5676402</v>
      </c>
      <c r="BP28" s="51">
        <f t="shared" si="15"/>
        <v>42128</v>
      </c>
      <c r="BQ28" s="51"/>
      <c r="BR28" s="51">
        <f>SUM(BR29:BR53)</f>
        <v>5390.1849999999995</v>
      </c>
      <c r="BS28" s="51">
        <f t="shared" ref="BS28:BU28" si="17">SUM(BS29:BS53)</f>
        <v>106255317</v>
      </c>
      <c r="BT28" s="51">
        <f t="shared" si="17"/>
        <v>0</v>
      </c>
      <c r="BU28" s="51">
        <f t="shared" si="17"/>
        <v>1898298.7450000001</v>
      </c>
      <c r="BV28" s="51">
        <f>SUM(BV29:BV53)</f>
        <v>216954.64499999993</v>
      </c>
      <c r="BW28" s="236"/>
      <c r="BX28" s="51"/>
      <c r="BY28" s="51"/>
      <c r="BZ28" s="51">
        <f t="shared" si="15"/>
        <v>89254.546363636386</v>
      </c>
      <c r="CA28" s="51">
        <f t="shared" si="15"/>
        <v>4164288.545454544</v>
      </c>
      <c r="CB28" s="51">
        <f t="shared" si="15"/>
        <v>10681856</v>
      </c>
      <c r="CC28" s="51">
        <f t="shared" si="15"/>
        <v>0</v>
      </c>
    </row>
    <row r="29" spans="1:98" s="75" customFormat="1" ht="49.5" customHeight="1" x14ac:dyDescent="0.2">
      <c r="A29" s="16">
        <v>1</v>
      </c>
      <c r="B29" s="22" t="s">
        <v>400</v>
      </c>
      <c r="C29" s="22" t="s">
        <v>74</v>
      </c>
      <c r="D29" s="17" t="s">
        <v>9</v>
      </c>
      <c r="E29" s="33"/>
      <c r="F29" s="33"/>
      <c r="G29" s="34" t="s">
        <v>75</v>
      </c>
      <c r="H29" s="22" t="s">
        <v>77</v>
      </c>
      <c r="I29" s="35" t="s">
        <v>76</v>
      </c>
      <c r="J29" s="36">
        <f>186528</f>
        <v>186528</v>
      </c>
      <c r="K29" s="92"/>
      <c r="L29" s="92"/>
      <c r="M29" s="96">
        <f>N29-J29</f>
        <v>206392</v>
      </c>
      <c r="N29" s="96">
        <v>392920</v>
      </c>
      <c r="O29" s="100"/>
      <c r="P29" s="100"/>
      <c r="Q29" s="105"/>
      <c r="R29" s="105"/>
      <c r="S29" s="100"/>
      <c r="T29" s="100"/>
      <c r="U29" s="184">
        <f t="shared" si="6"/>
        <v>392920</v>
      </c>
      <c r="V29" s="36">
        <f>34364455</f>
        <v>34364455</v>
      </c>
      <c r="W29" s="28">
        <f>V29/(N29/1.1)</f>
        <v>96.20508118701008</v>
      </c>
      <c r="X29" s="8">
        <v>67113.08</v>
      </c>
      <c r="Y29" s="38">
        <f>5299484</f>
        <v>5299484</v>
      </c>
      <c r="Z29" s="54" t="s">
        <v>145</v>
      </c>
      <c r="AA29" s="8">
        <f t="shared" ref="AA29:AA34" si="18">Y29/X29</f>
        <v>78.963504580627202</v>
      </c>
      <c r="AB29" s="37">
        <f t="shared" ref="AB29:AB34" si="19">X29*0.1</f>
        <v>6711.3080000000009</v>
      </c>
      <c r="AC29" s="38">
        <f>AB29*20828</f>
        <v>139783123.02400002</v>
      </c>
      <c r="AD29" s="57" t="s">
        <v>163</v>
      </c>
      <c r="AE29" s="3">
        <v>33914.18</v>
      </c>
      <c r="AF29" s="14">
        <v>2701604</v>
      </c>
      <c r="AG29" s="138" t="s">
        <v>181</v>
      </c>
      <c r="AH29" s="3">
        <f t="shared" ref="AH29:AH43" si="20">AF29/AE29</f>
        <v>79.660012419583779</v>
      </c>
      <c r="AI29" s="3">
        <f>AE29*0.1</f>
        <v>3391.4180000000001</v>
      </c>
      <c r="AJ29" s="14">
        <f>AI29*20828</f>
        <v>70636454.104000002</v>
      </c>
      <c r="AK29" s="14" t="s">
        <v>192</v>
      </c>
      <c r="AL29" s="61">
        <f>33914.18+715.28</f>
        <v>34629.46</v>
      </c>
      <c r="AM29" s="62">
        <v>3503809</v>
      </c>
      <c r="AN29" s="130" t="s">
        <v>253</v>
      </c>
      <c r="AO29" s="61">
        <f t="shared" ref="AO29:AO34" si="21">AM29/AL29</f>
        <v>101.18000684965922</v>
      </c>
      <c r="AP29" s="61">
        <f t="shared" ref="AP29:AP34" si="22">AL29*0.1</f>
        <v>3462.9459999999999</v>
      </c>
      <c r="AQ29" s="62">
        <f>AP29*21036</f>
        <v>72846532.055999994</v>
      </c>
      <c r="AR29" s="63" t="s">
        <v>298</v>
      </c>
      <c r="AS29" s="37">
        <f>30958.4/1.1</f>
        <v>28144</v>
      </c>
      <c r="AT29" s="38">
        <v>2882508</v>
      </c>
      <c r="AU29" s="38" t="s">
        <v>329</v>
      </c>
      <c r="AV29" s="37">
        <f>AT29/AS29</f>
        <v>102.41998294485504</v>
      </c>
      <c r="AW29" s="37">
        <f>AS29*0.1</f>
        <v>2814.4</v>
      </c>
      <c r="AX29" s="38">
        <f>AW29*21036</f>
        <v>59203718.399999999</v>
      </c>
      <c r="AY29" s="59" t="s">
        <v>342</v>
      </c>
      <c r="AZ29" s="85">
        <f>106370/1.1</f>
        <v>96699.999999999985</v>
      </c>
      <c r="BA29" s="86">
        <v>9830522</v>
      </c>
      <c r="BB29" s="85" t="s">
        <v>368</v>
      </c>
      <c r="BC29" s="85">
        <f>BA29/AZ29</f>
        <v>101.66000000000001</v>
      </c>
      <c r="BD29" s="85">
        <f>AZ29*0.1</f>
        <v>9669.9999999999982</v>
      </c>
      <c r="BE29" s="86">
        <f>BD29*21246</f>
        <v>205448819.99999997</v>
      </c>
      <c r="BF29" s="205" t="s">
        <v>388</v>
      </c>
      <c r="BG29" s="287">
        <f>53184.6/1.1</f>
        <v>48349.63636363636</v>
      </c>
      <c r="BH29" s="286">
        <v>5286550</v>
      </c>
      <c r="BI29" s="286" t="s">
        <v>399</v>
      </c>
      <c r="BJ29" s="287">
        <f>BH29/BG29</f>
        <v>109.34001571883591</v>
      </c>
      <c r="BK29" s="287">
        <f>BG29*0.1</f>
        <v>4834.9636363636364</v>
      </c>
      <c r="BL29" s="286">
        <f>BK29*21246</f>
        <v>102723637.41818182</v>
      </c>
      <c r="BM29" s="286" t="s">
        <v>401</v>
      </c>
      <c r="BN29" s="11"/>
      <c r="BO29" s="79"/>
      <c r="BP29" s="11"/>
      <c r="BQ29" s="11"/>
      <c r="BR29" s="11"/>
      <c r="BS29" s="79"/>
      <c r="BT29" s="11"/>
      <c r="BU29" s="8">
        <f>X29+AB29+AE29+AI29+AL29+AP29+AS29+AW29+AZ29+BD29+BN29+BR29+BG29+BK29</f>
        <v>339735.39199999993</v>
      </c>
      <c r="BV29" s="262">
        <f>N29-(X29+AE29+BN29+AI29+AL29+AP29+AS29+AW29+AZ29+BD29+BR29+AB29+BG29+BK29)</f>
        <v>53184.608000000007</v>
      </c>
      <c r="BW29" s="247" t="s">
        <v>366</v>
      </c>
      <c r="BX29" s="139" t="s">
        <v>396</v>
      </c>
      <c r="BY29" s="140" t="s">
        <v>330</v>
      </c>
      <c r="BZ29" s="29">
        <f>J29-X29-AE29-BN29-AL29-AS29-AZ29</f>
        <v>-73972.72</v>
      </c>
      <c r="CA29" s="30">
        <f>V29- (Y29+AF29+BO29+AM29+AT29+BA29+BH29)</f>
        <v>4859978</v>
      </c>
      <c r="CB29" s="33"/>
      <c r="CC29" s="12" t="s">
        <v>344</v>
      </c>
      <c r="CD29" s="113"/>
      <c r="CE29" s="113"/>
      <c r="CF29" s="113"/>
      <c r="CG29" s="113"/>
      <c r="CH29" s="113"/>
      <c r="CI29" s="113"/>
      <c r="CJ29" s="113"/>
      <c r="CK29" s="113"/>
      <c r="CL29" s="113"/>
      <c r="CM29" s="113"/>
      <c r="CN29" s="113"/>
      <c r="CO29" s="113"/>
      <c r="CP29" s="113"/>
      <c r="CQ29" s="113"/>
      <c r="CR29" s="113"/>
      <c r="CS29" s="113"/>
      <c r="CT29" s="113"/>
    </row>
    <row r="30" spans="1:98" s="75" customFormat="1" ht="49.5" customHeight="1" x14ac:dyDescent="0.2">
      <c r="A30" s="16">
        <v>2</v>
      </c>
      <c r="B30" s="22" t="s">
        <v>220</v>
      </c>
      <c r="C30" s="22" t="s">
        <v>116</v>
      </c>
      <c r="D30" s="17" t="s">
        <v>117</v>
      </c>
      <c r="E30" s="33"/>
      <c r="F30" s="33"/>
      <c r="G30" s="34" t="s">
        <v>210</v>
      </c>
      <c r="H30" s="22"/>
      <c r="I30" s="35" t="s">
        <v>211</v>
      </c>
      <c r="J30" s="36">
        <v>53460</v>
      </c>
      <c r="K30" s="38">
        <f>L30-J30</f>
        <v>13200</v>
      </c>
      <c r="L30" s="38">
        <v>66660</v>
      </c>
      <c r="M30" s="96"/>
      <c r="N30" s="96"/>
      <c r="O30" s="100"/>
      <c r="P30" s="100"/>
      <c r="Q30" s="105"/>
      <c r="R30" s="105"/>
      <c r="S30" s="100"/>
      <c r="T30" s="100"/>
      <c r="U30" s="184">
        <f t="shared" si="6"/>
        <v>66660</v>
      </c>
      <c r="V30" s="36">
        <f>5796318*1.1</f>
        <v>6375949.8000000007</v>
      </c>
      <c r="W30" s="28">
        <f>V30/J30</f>
        <v>119.26580246913582</v>
      </c>
      <c r="X30" s="8">
        <f>J30*0.4/1.1</f>
        <v>19440</v>
      </c>
      <c r="Y30" s="38">
        <v>1798394</v>
      </c>
      <c r="Z30" s="54" t="s">
        <v>219</v>
      </c>
      <c r="AA30" s="8">
        <f t="shared" si="18"/>
        <v>92.509979423868316</v>
      </c>
      <c r="AB30" s="37">
        <f>X30*0.1</f>
        <v>1944</v>
      </c>
      <c r="AC30" s="38">
        <f>AB30*20828</f>
        <v>40489632</v>
      </c>
      <c r="AD30" s="57" t="s">
        <v>229</v>
      </c>
      <c r="AE30" s="10">
        <v>19440</v>
      </c>
      <c r="AF30" s="20">
        <v>1966939</v>
      </c>
      <c r="AG30" s="112" t="s">
        <v>253</v>
      </c>
      <c r="AH30" s="10">
        <f t="shared" si="20"/>
        <v>101.17998971193416</v>
      </c>
      <c r="AI30" s="10">
        <f>AE30*0.1</f>
        <v>1944</v>
      </c>
      <c r="AJ30" s="20">
        <f>AI30*21036</f>
        <v>40893984</v>
      </c>
      <c r="AK30" s="58" t="s">
        <v>264</v>
      </c>
      <c r="AL30" s="61">
        <f>4752/1.1</f>
        <v>4320</v>
      </c>
      <c r="AM30" s="62">
        <v>422280</v>
      </c>
      <c r="AN30" s="62" t="s">
        <v>313</v>
      </c>
      <c r="AO30" s="61">
        <f t="shared" si="21"/>
        <v>97.75</v>
      </c>
      <c r="AP30" s="61">
        <f t="shared" si="22"/>
        <v>432</v>
      </c>
      <c r="AQ30" s="62">
        <f>AP30*21036</f>
        <v>9087552</v>
      </c>
      <c r="AR30" s="62" t="s">
        <v>338</v>
      </c>
      <c r="AS30" s="37">
        <f>9570/1.1</f>
        <v>8700</v>
      </c>
      <c r="AT30" s="38">
        <v>850425</v>
      </c>
      <c r="AU30" s="38" t="s">
        <v>313</v>
      </c>
      <c r="AV30" s="37">
        <f>AT30/AS30</f>
        <v>97.75</v>
      </c>
      <c r="AW30" s="37">
        <f>AS30*0.1</f>
        <v>870</v>
      </c>
      <c r="AX30" s="38">
        <f>AW30*21036</f>
        <v>18301320</v>
      </c>
      <c r="AY30" s="38" t="s">
        <v>338</v>
      </c>
      <c r="AZ30" s="85"/>
      <c r="BA30" s="86"/>
      <c r="BB30" s="86"/>
      <c r="BC30" s="85"/>
      <c r="BD30" s="85"/>
      <c r="BE30" s="86"/>
      <c r="BF30" s="86"/>
      <c r="BG30" s="282"/>
      <c r="BH30" s="282"/>
      <c r="BI30" s="282"/>
      <c r="BJ30" s="282"/>
      <c r="BK30" s="282"/>
      <c r="BL30" s="282"/>
      <c r="BM30" s="282"/>
      <c r="BN30" s="11">
        <v>8700</v>
      </c>
      <c r="BO30" s="79">
        <v>913935</v>
      </c>
      <c r="BP30" s="11" t="s">
        <v>343</v>
      </c>
      <c r="BQ30" s="11">
        <f>BO30/BN30</f>
        <v>105.05</v>
      </c>
      <c r="BR30" s="11">
        <f>BN30*0.1</f>
        <v>870</v>
      </c>
      <c r="BS30" s="79">
        <f>BR30*21036</f>
        <v>18301320</v>
      </c>
      <c r="BT30" s="11" t="s">
        <v>347</v>
      </c>
      <c r="BU30" s="8">
        <f t="shared" ref="BU30:BU53" si="23">X30+AB30+AE30+AI30+AL30+AP30+AS30+AW30+AZ30+BD30+BN30+BR30</f>
        <v>66660</v>
      </c>
      <c r="BV30" s="263">
        <f>L30-(X30+AE30+BN30+AI30+AL30+AP30+AS30+AW30+AZ30+BD30+BR30+AB30)</f>
        <v>0</v>
      </c>
      <c r="BW30" s="237"/>
      <c r="BX30" s="139" t="s">
        <v>395</v>
      </c>
      <c r="BY30" s="140"/>
      <c r="BZ30" s="29">
        <f>J30-X30-AE30-BN30-AL30-AS30-AZ30</f>
        <v>-7140</v>
      </c>
      <c r="CA30" s="30">
        <f>V30/1.1-Y30-AF30-BO30-AM30-AT30-BA30</f>
        <v>-155655</v>
      </c>
      <c r="CB30" s="33"/>
      <c r="CC30" s="12" t="s">
        <v>283</v>
      </c>
      <c r="CD30" s="113"/>
      <c r="CE30" s="113"/>
      <c r="CF30" s="113"/>
      <c r="CG30" s="113"/>
      <c r="CH30" s="113"/>
      <c r="CI30" s="113"/>
      <c r="CJ30" s="113"/>
      <c r="CK30" s="113"/>
      <c r="CL30" s="113"/>
      <c r="CM30" s="113"/>
      <c r="CN30" s="113"/>
      <c r="CO30" s="113"/>
      <c r="CP30" s="113"/>
      <c r="CQ30" s="113"/>
      <c r="CR30" s="113"/>
      <c r="CS30" s="113"/>
      <c r="CT30" s="113"/>
    </row>
    <row r="31" spans="1:98" s="75" customFormat="1" ht="49.5" customHeight="1" x14ac:dyDescent="0.2">
      <c r="A31" s="16">
        <v>3</v>
      </c>
      <c r="B31" s="22" t="s">
        <v>382</v>
      </c>
      <c r="C31" s="22" t="s">
        <v>83</v>
      </c>
      <c r="D31" s="17" t="s">
        <v>58</v>
      </c>
      <c r="E31" s="33"/>
      <c r="F31" s="33"/>
      <c r="G31" s="34" t="s">
        <v>201</v>
      </c>
      <c r="H31" s="22"/>
      <c r="I31" s="35" t="s">
        <v>202</v>
      </c>
      <c r="J31" s="36">
        <v>56650</v>
      </c>
      <c r="K31" s="92">
        <f>L31-J31</f>
        <v>-12080</v>
      </c>
      <c r="L31" s="92">
        <v>44570</v>
      </c>
      <c r="M31" s="96"/>
      <c r="N31" s="96"/>
      <c r="O31" s="100"/>
      <c r="P31" s="100"/>
      <c r="Q31" s="105"/>
      <c r="R31" s="105"/>
      <c r="S31" s="100"/>
      <c r="T31" s="100"/>
      <c r="U31" s="184">
        <f t="shared" si="6"/>
        <v>44570</v>
      </c>
      <c r="V31" s="36">
        <f>4764265*1.1</f>
        <v>5240691.5</v>
      </c>
      <c r="W31" s="28">
        <f>V31/J31</f>
        <v>92.51</v>
      </c>
      <c r="X31" s="8">
        <f>J31*0.4/1.1</f>
        <v>20600</v>
      </c>
      <c r="Y31" s="38">
        <v>1905706</v>
      </c>
      <c r="Z31" s="54" t="s">
        <v>215</v>
      </c>
      <c r="AA31" s="8">
        <f t="shared" si="18"/>
        <v>92.51</v>
      </c>
      <c r="AB31" s="37">
        <f t="shared" si="19"/>
        <v>2060</v>
      </c>
      <c r="AC31" s="38">
        <f>AB31*20828</f>
        <v>42905680</v>
      </c>
      <c r="AD31" s="57" t="s">
        <v>226</v>
      </c>
      <c r="AE31" s="3">
        <v>11815</v>
      </c>
      <c r="AF31" s="14">
        <v>1164841</v>
      </c>
      <c r="AG31" s="138" t="s">
        <v>261</v>
      </c>
      <c r="AH31" s="3">
        <f t="shared" si="20"/>
        <v>98.590012695725775</v>
      </c>
      <c r="AI31" s="3">
        <v>1181</v>
      </c>
      <c r="AJ31" s="14">
        <v>24853078</v>
      </c>
      <c r="AK31" s="14" t="s">
        <v>306</v>
      </c>
      <c r="AL31" s="61">
        <f>8914/1.1</f>
        <v>8103.6363636363631</v>
      </c>
      <c r="AM31" s="62">
        <v>871344</v>
      </c>
      <c r="AN31" s="130" t="s">
        <v>312</v>
      </c>
      <c r="AO31" s="61">
        <f t="shared" si="21"/>
        <v>107.52506170069555</v>
      </c>
      <c r="AP31" s="61">
        <f t="shared" si="22"/>
        <v>810.36363636363637</v>
      </c>
      <c r="AQ31" s="62">
        <f>AP31*21036</f>
        <v>17046809.454545453</v>
      </c>
      <c r="AR31" s="63" t="s">
        <v>324</v>
      </c>
      <c r="AS31" s="37"/>
      <c r="AT31" s="38"/>
      <c r="AU31" s="38"/>
      <c r="AV31" s="37"/>
      <c r="AW31" s="37"/>
      <c r="AX31" s="38"/>
      <c r="AY31" s="38"/>
      <c r="AZ31" s="85"/>
      <c r="BA31" s="86"/>
      <c r="BB31" s="86"/>
      <c r="BC31" s="85"/>
      <c r="BD31" s="85"/>
      <c r="BE31" s="86"/>
      <c r="BF31" s="86"/>
      <c r="BG31" s="282"/>
      <c r="BH31" s="282"/>
      <c r="BI31" s="282"/>
      <c r="BJ31" s="282"/>
      <c r="BK31" s="282"/>
      <c r="BL31" s="282"/>
      <c r="BM31" s="282"/>
      <c r="BN31" s="11"/>
      <c r="BO31" s="79"/>
      <c r="BP31" s="11"/>
      <c r="BQ31" s="11"/>
      <c r="BR31" s="11"/>
      <c r="BS31" s="79"/>
      <c r="BT31" s="11"/>
      <c r="BU31" s="8">
        <f t="shared" si="23"/>
        <v>44570</v>
      </c>
      <c r="BV31" s="263">
        <f>L31-(X31+AE31+BN31+AI31+AL31+AP31+AS31+AW31+AZ31+BD31+BR31+AB31)</f>
        <v>0</v>
      </c>
      <c r="BW31" s="237"/>
      <c r="BX31" s="139" t="s">
        <v>395</v>
      </c>
      <c r="BY31" s="139"/>
      <c r="BZ31" s="29">
        <f>L31-X31-AE31-BN31-AL31-AS31-AZ31</f>
        <v>4051.3636363636369</v>
      </c>
      <c r="CA31" s="30">
        <f t="shared" ref="CA31:CA44" si="24">V31/1.1-Y31-AF31-BO31-AM31-AT31-BA31</f>
        <v>822374</v>
      </c>
      <c r="CB31" s="33"/>
      <c r="CC31" s="12" t="s">
        <v>289</v>
      </c>
      <c r="CD31" s="113"/>
      <c r="CE31" s="113"/>
      <c r="CF31" s="113"/>
      <c r="CG31" s="113"/>
      <c r="CH31" s="113"/>
      <c r="CI31" s="113"/>
      <c r="CJ31" s="113"/>
      <c r="CK31" s="113"/>
      <c r="CL31" s="113"/>
      <c r="CM31" s="113"/>
      <c r="CN31" s="113"/>
      <c r="CO31" s="113"/>
      <c r="CP31" s="113"/>
      <c r="CQ31" s="113"/>
      <c r="CR31" s="113"/>
      <c r="CS31" s="113"/>
      <c r="CT31" s="113"/>
    </row>
    <row r="32" spans="1:98" s="75" customFormat="1" ht="49.5" customHeight="1" x14ac:dyDescent="0.2">
      <c r="A32" s="16">
        <v>4</v>
      </c>
      <c r="B32" s="22" t="s">
        <v>109</v>
      </c>
      <c r="C32" s="22" t="s">
        <v>74</v>
      </c>
      <c r="D32" s="17" t="s">
        <v>9</v>
      </c>
      <c r="E32" s="33"/>
      <c r="F32" s="33"/>
      <c r="G32" s="34" t="s">
        <v>85</v>
      </c>
      <c r="H32" s="22" t="s">
        <v>88</v>
      </c>
      <c r="I32" s="35" t="s">
        <v>89</v>
      </c>
      <c r="J32" s="36">
        <v>87998</v>
      </c>
      <c r="K32" s="92">
        <f>L32-J32</f>
        <v>100794</v>
      </c>
      <c r="L32" s="92">
        <v>188792</v>
      </c>
      <c r="M32" s="96"/>
      <c r="N32" s="96"/>
      <c r="O32" s="100"/>
      <c r="P32" s="100"/>
      <c r="Q32" s="105"/>
      <c r="R32" s="105"/>
      <c r="S32" s="100"/>
      <c r="T32" s="100"/>
      <c r="U32" s="184">
        <f t="shared" si="6"/>
        <v>188792</v>
      </c>
      <c r="V32" s="36">
        <f>17193589*1.1</f>
        <v>18912947.900000002</v>
      </c>
      <c r="W32" s="28">
        <f>V32/L32</f>
        <v>100.17875704479005</v>
      </c>
      <c r="X32" s="8">
        <f>J32*0.4/1.1</f>
        <v>31999.272727272728</v>
      </c>
      <c r="Y32" s="38">
        <v>2501383</v>
      </c>
      <c r="Z32" s="54" t="s">
        <v>138</v>
      </c>
      <c r="AA32" s="8">
        <f t="shared" si="18"/>
        <v>78.169995340803197</v>
      </c>
      <c r="AB32" s="37">
        <f t="shared" si="19"/>
        <v>3199.9272727272728</v>
      </c>
      <c r="AC32" s="38">
        <f>AB32*20828</f>
        <v>66648085.236363634</v>
      </c>
      <c r="AD32" s="57" t="s">
        <v>163</v>
      </c>
      <c r="AE32" s="3">
        <f>87998*0.4/1.1</f>
        <v>31999.272727272728</v>
      </c>
      <c r="AF32" s="14">
        <v>2549062</v>
      </c>
      <c r="AG32" s="138" t="s">
        <v>183</v>
      </c>
      <c r="AH32" s="3">
        <f t="shared" si="20"/>
        <v>79.659997954498962</v>
      </c>
      <c r="AI32" s="3">
        <f>AE32*0.1</f>
        <v>3199.9272727272728</v>
      </c>
      <c r="AJ32" s="14">
        <f>AI32*20828</f>
        <v>66648085.236363634</v>
      </c>
      <c r="AK32" s="14" t="s">
        <v>197</v>
      </c>
      <c r="AL32" s="61">
        <v>31323.27</v>
      </c>
      <c r="AM32" s="62">
        <v>3067175</v>
      </c>
      <c r="AN32" s="130" t="s">
        <v>232</v>
      </c>
      <c r="AO32" s="61">
        <f t="shared" si="21"/>
        <v>97.920012821139039</v>
      </c>
      <c r="AP32" s="61">
        <f t="shared" si="22"/>
        <v>3132.3270000000002</v>
      </c>
      <c r="AQ32" s="62">
        <f>AP32*20828</f>
        <v>65240106.756000005</v>
      </c>
      <c r="AR32" s="63" t="s">
        <v>249</v>
      </c>
      <c r="AS32" s="37">
        <v>38153.64</v>
      </c>
      <c r="AT32" s="38">
        <v>3735942</v>
      </c>
      <c r="AU32" s="38" t="s">
        <v>241</v>
      </c>
      <c r="AV32" s="37">
        <f>AT32/AS32</f>
        <v>97.918363752449309</v>
      </c>
      <c r="AW32" s="37">
        <f>AS32*0.1</f>
        <v>3815.364</v>
      </c>
      <c r="AX32" s="38">
        <f>AW32*20828</f>
        <v>79466401.392000005</v>
      </c>
      <c r="AY32" s="38" t="s">
        <v>249</v>
      </c>
      <c r="AZ32" s="85">
        <f>41969/1.1</f>
        <v>38153.63636363636</v>
      </c>
      <c r="BA32" s="86">
        <v>3907696</v>
      </c>
      <c r="BB32" s="86" t="s">
        <v>329</v>
      </c>
      <c r="BC32" s="85">
        <f>BA32/AZ32</f>
        <v>102.42001477280851</v>
      </c>
      <c r="BD32" s="85">
        <f>AZ32*0.1</f>
        <v>3815.363636363636</v>
      </c>
      <c r="BE32" s="86">
        <f>BD32*21036</f>
        <v>80259989.454545453</v>
      </c>
      <c r="BF32" s="205" t="s">
        <v>342</v>
      </c>
      <c r="BG32" s="283"/>
      <c r="BH32" s="283"/>
      <c r="BI32" s="283"/>
      <c r="BJ32" s="283"/>
      <c r="BK32" s="283"/>
      <c r="BL32" s="283"/>
      <c r="BM32" s="283"/>
      <c r="BN32" s="11"/>
      <c r="BO32" s="79"/>
      <c r="BP32" s="11"/>
      <c r="BQ32" s="11"/>
      <c r="BR32" s="11"/>
      <c r="BS32" s="79"/>
      <c r="BT32" s="11"/>
      <c r="BU32" s="8">
        <f t="shared" si="23"/>
        <v>188792.00099999999</v>
      </c>
      <c r="BV32" s="263">
        <f>L32-(X32+AE32+BN32+AI32+AL32+AP32+AS32+AW32+AZ32+BD32+BR32+AB32)</f>
        <v>-1.0000000183936208E-3</v>
      </c>
      <c r="BW32" s="237"/>
      <c r="BX32" s="139" t="s">
        <v>395</v>
      </c>
      <c r="BY32" s="140" t="s">
        <v>331</v>
      </c>
      <c r="BZ32" s="29">
        <f>L32-X32-AE32-BN32-AL32-AS32-AZ32</f>
        <v>17162.908181818166</v>
      </c>
      <c r="CA32" s="30">
        <f t="shared" si="24"/>
        <v>1432331</v>
      </c>
      <c r="CB32" s="33"/>
      <c r="CC32" s="12" t="s">
        <v>292</v>
      </c>
      <c r="CD32" s="113"/>
      <c r="CE32" s="113"/>
      <c r="CF32" s="113"/>
      <c r="CG32" s="113"/>
      <c r="CH32" s="113"/>
      <c r="CI32" s="113"/>
      <c r="CJ32" s="113"/>
      <c r="CK32" s="113"/>
      <c r="CL32" s="113"/>
      <c r="CM32" s="113"/>
      <c r="CN32" s="113"/>
      <c r="CO32" s="113"/>
      <c r="CP32" s="113"/>
      <c r="CQ32" s="113"/>
      <c r="CR32" s="113"/>
      <c r="CS32" s="113"/>
      <c r="CT32" s="113"/>
    </row>
    <row r="33" spans="1:81" s="13" customFormat="1" ht="49.5" customHeight="1" x14ac:dyDescent="0.2">
      <c r="A33" s="16">
        <v>5</v>
      </c>
      <c r="B33" s="22" t="s">
        <v>377</v>
      </c>
      <c r="C33" s="16" t="s">
        <v>1</v>
      </c>
      <c r="D33" s="17" t="s">
        <v>2</v>
      </c>
      <c r="E33" s="33"/>
      <c r="F33" s="33"/>
      <c r="G33" s="22" t="s">
        <v>150</v>
      </c>
      <c r="H33" s="22"/>
      <c r="I33" s="35" t="s">
        <v>154</v>
      </c>
      <c r="J33" s="36">
        <v>93500</v>
      </c>
      <c r="K33" s="38">
        <f>L33-J33</f>
        <v>101200</v>
      </c>
      <c r="L33" s="38">
        <v>194700</v>
      </c>
      <c r="M33" s="96"/>
      <c r="N33" s="96"/>
      <c r="O33" s="100"/>
      <c r="P33" s="100"/>
      <c r="Q33" s="105"/>
      <c r="R33" s="105"/>
      <c r="S33" s="100"/>
      <c r="T33" s="100"/>
      <c r="U33" s="184">
        <f t="shared" si="6"/>
        <v>194700</v>
      </c>
      <c r="V33" s="36">
        <f>6681000*1.1</f>
        <v>7349100.0000000009</v>
      </c>
      <c r="W33" s="44">
        <f t="shared" ref="W33:W44" si="25">V33/J33</f>
        <v>78.600000000000009</v>
      </c>
      <c r="X33" s="37">
        <f>J33*0.4/1.1</f>
        <v>34000</v>
      </c>
      <c r="Y33" s="38">
        <v>2708440</v>
      </c>
      <c r="Z33" s="59" t="s">
        <v>183</v>
      </c>
      <c r="AA33" s="37">
        <f t="shared" si="18"/>
        <v>79.66</v>
      </c>
      <c r="AB33" s="37">
        <f t="shared" si="19"/>
        <v>3400</v>
      </c>
      <c r="AC33" s="38">
        <f>AB33*20828</f>
        <v>70815200</v>
      </c>
      <c r="AD33" s="59" t="s">
        <v>198</v>
      </c>
      <c r="AE33" s="39">
        <v>34000</v>
      </c>
      <c r="AF33" s="40">
        <v>3329280</v>
      </c>
      <c r="AG33" s="67" t="s">
        <v>241</v>
      </c>
      <c r="AH33" s="39">
        <f t="shared" si="20"/>
        <v>97.92</v>
      </c>
      <c r="AI33" s="39">
        <f>AE33*0.1</f>
        <v>3400</v>
      </c>
      <c r="AJ33" s="40">
        <f>AI33*20828</f>
        <v>70815200</v>
      </c>
      <c r="AK33" s="40" t="s">
        <v>260</v>
      </c>
      <c r="AL33" s="64">
        <v>18000</v>
      </c>
      <c r="AM33" s="65">
        <f>1834920</f>
        <v>1834920</v>
      </c>
      <c r="AN33" s="65" t="s">
        <v>350</v>
      </c>
      <c r="AO33" s="64">
        <f t="shared" si="21"/>
        <v>101.94</v>
      </c>
      <c r="AP33" s="61">
        <f t="shared" si="22"/>
        <v>1800</v>
      </c>
      <c r="AQ33" s="65">
        <f>AP33*21036</f>
        <v>37864800</v>
      </c>
      <c r="AR33" s="62" t="s">
        <v>359</v>
      </c>
      <c r="AS33" s="37"/>
      <c r="AT33" s="38"/>
      <c r="AU33" s="38"/>
      <c r="AV33" s="37"/>
      <c r="AW33" s="37"/>
      <c r="AX33" s="38"/>
      <c r="AY33" s="38"/>
      <c r="AZ33" s="85"/>
      <c r="BA33" s="86"/>
      <c r="BB33" s="86"/>
      <c r="BC33" s="85"/>
      <c r="BD33" s="85"/>
      <c r="BE33" s="86"/>
      <c r="BF33" s="86"/>
      <c r="BG33" s="282"/>
      <c r="BH33" s="282"/>
      <c r="BI33" s="282"/>
      <c r="BJ33" s="282"/>
      <c r="BK33" s="282"/>
      <c r="BL33" s="282"/>
      <c r="BM33" s="282"/>
      <c r="BN33" s="41"/>
      <c r="BO33" s="127"/>
      <c r="BP33" s="41"/>
      <c r="BQ33" s="41"/>
      <c r="BR33" s="41"/>
      <c r="BS33" s="127"/>
      <c r="BT33" s="41"/>
      <c r="BU33" s="8">
        <f t="shared" si="23"/>
        <v>94600</v>
      </c>
      <c r="BV33" s="263">
        <f>L33-(X33+AE33+BN33+AI33+AL33+AP33+AS33+AW33+AZ33+BD33+BR33+AB33)</f>
        <v>100100</v>
      </c>
      <c r="BW33" s="237" t="s">
        <v>362</v>
      </c>
      <c r="BX33" s="140" t="s">
        <v>355</v>
      </c>
      <c r="BY33" s="140" t="s">
        <v>320</v>
      </c>
      <c r="BZ33" s="29">
        <f>L33-X33-AE33-BN33-AL33-AS33-AZ33</f>
        <v>108700</v>
      </c>
      <c r="CA33" s="30">
        <f t="shared" si="24"/>
        <v>-1191640</v>
      </c>
      <c r="CB33" s="42"/>
      <c r="CC33" s="12" t="s">
        <v>291</v>
      </c>
    </row>
    <row r="34" spans="1:81" s="13" customFormat="1" ht="50.25" customHeight="1" x14ac:dyDescent="0.2">
      <c r="A34" s="16">
        <v>6</v>
      </c>
      <c r="B34" s="16" t="s">
        <v>101</v>
      </c>
      <c r="C34" s="16" t="s">
        <v>1</v>
      </c>
      <c r="D34" s="17" t="s">
        <v>2</v>
      </c>
      <c r="E34" s="17"/>
      <c r="F34" s="17"/>
      <c r="G34" s="16" t="s">
        <v>53</v>
      </c>
      <c r="H34" s="16" t="s">
        <v>54</v>
      </c>
      <c r="I34" s="18" t="s">
        <v>200</v>
      </c>
      <c r="J34" s="19">
        <f>80196</f>
        <v>80196</v>
      </c>
      <c r="K34" s="91">
        <v>11191</v>
      </c>
      <c r="L34" s="91">
        <f>J34+K34</f>
        <v>91387</v>
      </c>
      <c r="M34" s="94">
        <f>N34-L34</f>
        <v>3771</v>
      </c>
      <c r="N34" s="94">
        <v>95158</v>
      </c>
      <c r="O34" s="98"/>
      <c r="P34" s="98"/>
      <c r="Q34" s="103"/>
      <c r="R34" s="103"/>
      <c r="S34" s="98"/>
      <c r="T34" s="98"/>
      <c r="U34" s="184">
        <f t="shared" si="6"/>
        <v>95158</v>
      </c>
      <c r="V34" s="19">
        <f>1.1*6827753</f>
        <v>7510528.3000000007</v>
      </c>
      <c r="W34" s="28">
        <f t="shared" si="25"/>
        <v>93.652155967878713</v>
      </c>
      <c r="X34" s="8">
        <f>32078/1.1</f>
        <v>29161.81818181818</v>
      </c>
      <c r="Y34" s="9">
        <v>2604413</v>
      </c>
      <c r="Z34" s="53" t="s">
        <v>63</v>
      </c>
      <c r="AA34" s="8">
        <f t="shared" si="18"/>
        <v>89.309006172454644</v>
      </c>
      <c r="AB34" s="8">
        <f t="shared" si="19"/>
        <v>2916.181818181818</v>
      </c>
      <c r="AC34" s="9">
        <v>60738239</v>
      </c>
      <c r="AD34" s="9" t="s">
        <v>136</v>
      </c>
      <c r="AE34" s="10">
        <f>J34*0.4/1.1</f>
        <v>29162.181818181816</v>
      </c>
      <c r="AF34" s="20">
        <v>2262971</v>
      </c>
      <c r="AG34" s="58" t="s">
        <v>178</v>
      </c>
      <c r="AH34" s="10">
        <f t="shared" si="20"/>
        <v>77.599509327148496</v>
      </c>
      <c r="AI34" s="10">
        <f t="shared" ref="AI34:AI48" si="26">AE34*0.1</f>
        <v>2916.2181818181816</v>
      </c>
      <c r="AJ34" s="20">
        <f t="shared" ref="AJ34:AJ40" si="27">AI34*20828</f>
        <v>60738992.290909089</v>
      </c>
      <c r="AK34" s="20" t="s">
        <v>192</v>
      </c>
      <c r="AL34" s="61">
        <v>12968.18</v>
      </c>
      <c r="AM34" s="62">
        <v>1321958</v>
      </c>
      <c r="AN34" s="63" t="s">
        <v>350</v>
      </c>
      <c r="AO34" s="61">
        <f t="shared" si="21"/>
        <v>101.93859122868436</v>
      </c>
      <c r="AP34" s="61">
        <f t="shared" si="22"/>
        <v>1296.8180000000002</v>
      </c>
      <c r="AQ34" s="62">
        <f>AP34*21036</f>
        <v>27279863.448000003</v>
      </c>
      <c r="AR34" s="62" t="s">
        <v>359</v>
      </c>
      <c r="AS34" s="8"/>
      <c r="AT34" s="9"/>
      <c r="AU34" s="57"/>
      <c r="AV34" s="8"/>
      <c r="AW34" s="8"/>
      <c r="AX34" s="9"/>
      <c r="AY34" s="9"/>
      <c r="AZ34" s="83"/>
      <c r="BA34" s="84"/>
      <c r="BB34" s="87"/>
      <c r="BC34" s="83"/>
      <c r="BD34" s="83"/>
      <c r="BE34" s="84"/>
      <c r="BF34" s="84"/>
      <c r="BG34" s="281"/>
      <c r="BH34" s="281"/>
      <c r="BI34" s="281"/>
      <c r="BJ34" s="281"/>
      <c r="BK34" s="281"/>
      <c r="BL34" s="281"/>
      <c r="BM34" s="281"/>
      <c r="BN34" s="11"/>
      <c r="BO34" s="79"/>
      <c r="BP34" s="11"/>
      <c r="BQ34" s="11"/>
      <c r="BR34" s="11"/>
      <c r="BS34" s="79"/>
      <c r="BT34" s="11"/>
      <c r="BU34" s="8">
        <f t="shared" si="23"/>
        <v>78421.397999999986</v>
      </c>
      <c r="BV34" s="263">
        <f>N34-(X34+AE34+BN34+AI34+AL34+AP34+AS34+AW34+AZ34+BD34+BR34+AB34)</f>
        <v>16736.601999999984</v>
      </c>
      <c r="BW34" s="246" t="s">
        <v>363</v>
      </c>
      <c r="BX34" s="140" t="s">
        <v>356</v>
      </c>
      <c r="BY34" s="140" t="s">
        <v>320</v>
      </c>
      <c r="BZ34" s="29">
        <f>N34-X34-AE34-BN34-AL34-AS34-AZ34</f>
        <v>23865.820000000007</v>
      </c>
      <c r="CA34" s="30">
        <f t="shared" si="24"/>
        <v>638411</v>
      </c>
      <c r="CB34" s="7"/>
      <c r="CC34" s="12" t="s">
        <v>284</v>
      </c>
    </row>
    <row r="35" spans="1:81" s="13" customFormat="1" ht="49.5" customHeight="1" x14ac:dyDescent="0.2">
      <c r="A35" s="16">
        <v>7</v>
      </c>
      <c r="B35" s="22" t="s">
        <v>376</v>
      </c>
      <c r="C35" s="16" t="s">
        <v>1</v>
      </c>
      <c r="D35" s="17" t="s">
        <v>2</v>
      </c>
      <c r="E35" s="33"/>
      <c r="F35" s="33"/>
      <c r="G35" s="22" t="s">
        <v>150</v>
      </c>
      <c r="H35" s="22"/>
      <c r="I35" s="35" t="s">
        <v>153</v>
      </c>
      <c r="J35" s="36">
        <v>71500</v>
      </c>
      <c r="K35" s="92">
        <f t="shared" ref="K35:K44" si="28">L35-J35</f>
        <v>0</v>
      </c>
      <c r="L35" s="92">
        <f>92178.9-20678.9</f>
        <v>71500</v>
      </c>
      <c r="M35" s="96"/>
      <c r="N35" s="96"/>
      <c r="O35" s="100"/>
      <c r="P35" s="100"/>
      <c r="Q35" s="105"/>
      <c r="R35" s="105"/>
      <c r="S35" s="100"/>
      <c r="T35" s="100"/>
      <c r="U35" s="184">
        <f t="shared" si="6"/>
        <v>71500</v>
      </c>
      <c r="V35" s="36">
        <f>5109000*1.1</f>
        <v>5619900</v>
      </c>
      <c r="W35" s="44">
        <f t="shared" si="25"/>
        <v>78.599999999999994</v>
      </c>
      <c r="X35" s="37">
        <f>J35*0.4/1.1</f>
        <v>25999.999999999996</v>
      </c>
      <c r="Y35" s="38">
        <v>2135120</v>
      </c>
      <c r="Z35" s="54" t="s">
        <v>191</v>
      </c>
      <c r="AA35" s="37">
        <f>Y35/X35</f>
        <v>82.12</v>
      </c>
      <c r="AB35" s="37">
        <v>2600</v>
      </c>
      <c r="AC35" s="38">
        <f>AB35*20828</f>
        <v>54152800</v>
      </c>
      <c r="AD35" s="59" t="s">
        <v>210</v>
      </c>
      <c r="AE35" s="39">
        <f>J35*0.4/1.1</f>
        <v>25999.999999999996</v>
      </c>
      <c r="AF35" s="40">
        <v>2445300</v>
      </c>
      <c r="AG35" s="67" t="s">
        <v>230</v>
      </c>
      <c r="AH35" s="39">
        <f t="shared" si="20"/>
        <v>94.050000000000011</v>
      </c>
      <c r="AI35" s="39">
        <f t="shared" si="26"/>
        <v>2600</v>
      </c>
      <c r="AJ35" s="40">
        <f t="shared" si="27"/>
        <v>54152800</v>
      </c>
      <c r="AK35" s="40" t="s">
        <v>252</v>
      </c>
      <c r="AL35" s="64"/>
      <c r="AM35" s="65"/>
      <c r="AN35" s="65"/>
      <c r="AO35" s="64"/>
      <c r="AP35" s="64"/>
      <c r="AQ35" s="65"/>
      <c r="AR35" s="65"/>
      <c r="AS35" s="37"/>
      <c r="AT35" s="38"/>
      <c r="AU35" s="38"/>
      <c r="AV35" s="37"/>
      <c r="AW35" s="37"/>
      <c r="AX35" s="38"/>
      <c r="AY35" s="38"/>
      <c r="AZ35" s="85"/>
      <c r="BA35" s="86"/>
      <c r="BB35" s="86"/>
      <c r="BC35" s="85"/>
      <c r="BD35" s="85"/>
      <c r="BE35" s="86"/>
      <c r="BF35" s="86"/>
      <c r="BG35" s="282"/>
      <c r="BH35" s="282"/>
      <c r="BI35" s="282"/>
      <c r="BJ35" s="282"/>
      <c r="BK35" s="282"/>
      <c r="BL35" s="282"/>
      <c r="BM35" s="282"/>
      <c r="BN35" s="152">
        <v>13000</v>
      </c>
      <c r="BO35" s="154">
        <v>1564160</v>
      </c>
      <c r="BP35" s="152" t="s">
        <v>402</v>
      </c>
      <c r="BQ35" s="152">
        <f>BO35/BN35</f>
        <v>120.32</v>
      </c>
      <c r="BR35" s="152">
        <v>1300</v>
      </c>
      <c r="BS35" s="154">
        <f>BR35*21458</f>
        <v>27895400</v>
      </c>
      <c r="BT35" s="293" t="s">
        <v>403</v>
      </c>
      <c r="BU35" s="8">
        <f t="shared" si="23"/>
        <v>71500</v>
      </c>
      <c r="BV35" s="263">
        <f>L35-(X35+AE35+BN35+AI35+AL35+AP35+AS35+AW35+AZ35+BD35+BR35+AB35)</f>
        <v>0</v>
      </c>
      <c r="BW35" s="237" t="s">
        <v>362</v>
      </c>
      <c r="BX35" s="139" t="s">
        <v>395</v>
      </c>
      <c r="BY35" s="140" t="s">
        <v>320</v>
      </c>
      <c r="BZ35" s="29">
        <f t="shared" ref="BZ35:BZ44" si="29">L35-X35-AE35-BN35-AL35-AS35-AZ35</f>
        <v>6500.0000000000036</v>
      </c>
      <c r="CA35" s="30">
        <f t="shared" si="24"/>
        <v>-1035580</v>
      </c>
      <c r="CB35" s="29"/>
      <c r="CC35" s="12" t="s">
        <v>284</v>
      </c>
    </row>
    <row r="36" spans="1:81" s="72" customFormat="1" ht="50.25" customHeight="1" x14ac:dyDescent="0.2">
      <c r="A36" s="16">
        <v>8</v>
      </c>
      <c r="B36" s="16" t="s">
        <v>161</v>
      </c>
      <c r="C36" s="16" t="s">
        <v>1</v>
      </c>
      <c r="D36" s="17" t="s">
        <v>2</v>
      </c>
      <c r="E36" s="17"/>
      <c r="F36" s="17"/>
      <c r="G36" s="21">
        <v>40916</v>
      </c>
      <c r="H36" s="16"/>
      <c r="I36" s="18" t="s">
        <v>107</v>
      </c>
      <c r="J36" s="19">
        <v>31011</v>
      </c>
      <c r="K36" s="91">
        <f t="shared" si="28"/>
        <v>-3669</v>
      </c>
      <c r="L36" s="91">
        <v>27342</v>
      </c>
      <c r="M36" s="94"/>
      <c r="N36" s="94"/>
      <c r="O36" s="98"/>
      <c r="P36" s="98"/>
      <c r="Q36" s="103"/>
      <c r="R36" s="103"/>
      <c r="S36" s="98"/>
      <c r="T36" s="98"/>
      <c r="U36" s="184">
        <f t="shared" si="6"/>
        <v>27342</v>
      </c>
      <c r="V36" s="19">
        <f>1.1*2235907</f>
        <v>2459497.7000000002</v>
      </c>
      <c r="W36" s="28">
        <f t="shared" si="25"/>
        <v>79.310493050852926</v>
      </c>
      <c r="X36" s="8">
        <f>J36*0.4/1.1</f>
        <v>11276.727272727274</v>
      </c>
      <c r="Y36" s="9">
        <v>886351</v>
      </c>
      <c r="Z36" s="53" t="s">
        <v>162</v>
      </c>
      <c r="AA36" s="8">
        <f t="shared" ref="AA36:AA37" si="30">Y36/X36</f>
        <v>78.600020960304406</v>
      </c>
      <c r="AB36" s="8">
        <f t="shared" ref="AB36:AB48" si="31">X36*0.1</f>
        <v>1127.6727272727273</v>
      </c>
      <c r="AC36" s="9">
        <f t="shared" ref="AC36" si="32">AB36*20828</f>
        <v>23487167.563636366</v>
      </c>
      <c r="AD36" s="57" t="s">
        <v>186</v>
      </c>
      <c r="AE36" s="10">
        <v>11276.36</v>
      </c>
      <c r="AF36" s="20">
        <v>1027761</v>
      </c>
      <c r="AG36" s="58" t="s">
        <v>218</v>
      </c>
      <c r="AH36" s="10">
        <f t="shared" si="20"/>
        <v>91.142975215406381</v>
      </c>
      <c r="AI36" s="10">
        <f t="shared" si="26"/>
        <v>1127.6360000000002</v>
      </c>
      <c r="AJ36" s="20">
        <f t="shared" si="27"/>
        <v>23486402.608000003</v>
      </c>
      <c r="AK36" s="58" t="s">
        <v>229</v>
      </c>
      <c r="AL36" s="68"/>
      <c r="AM36" s="69"/>
      <c r="AN36" s="69"/>
      <c r="AO36" s="69"/>
      <c r="AP36" s="68"/>
      <c r="AQ36" s="69"/>
      <c r="AR36" s="69"/>
      <c r="AS36" s="81"/>
      <c r="AT36" s="82"/>
      <c r="AU36" s="82"/>
      <c r="AV36" s="174"/>
      <c r="AW36" s="81"/>
      <c r="AX36" s="82"/>
      <c r="AY36" s="82"/>
      <c r="AZ36" s="88"/>
      <c r="BA36" s="89"/>
      <c r="BB36" s="89"/>
      <c r="BC36" s="175"/>
      <c r="BD36" s="88"/>
      <c r="BE36" s="89"/>
      <c r="BF36" s="89"/>
      <c r="BG36" s="284"/>
      <c r="BH36" s="284"/>
      <c r="BI36" s="284"/>
      <c r="BJ36" s="284"/>
      <c r="BK36" s="284"/>
      <c r="BL36" s="284"/>
      <c r="BM36" s="284"/>
      <c r="BN36" s="293">
        <v>2303.27</v>
      </c>
      <c r="BO36" s="294">
        <v>277129</v>
      </c>
      <c r="BP36" s="293" t="s">
        <v>402</v>
      </c>
      <c r="BQ36" s="293">
        <f>BO36/BN36</f>
        <v>120.31980618859274</v>
      </c>
      <c r="BR36" s="293">
        <v>230.33</v>
      </c>
      <c r="BS36" s="294">
        <v>4942357</v>
      </c>
      <c r="BT36" s="293" t="s">
        <v>403</v>
      </c>
      <c r="BU36" s="8">
        <f t="shared" si="23"/>
        <v>27341.996000000003</v>
      </c>
      <c r="BV36" s="263">
        <f t="shared" ref="BV35:BV44" si="33">L36-(X36+AE36+BN36+AI36+AL36+AP36+AS36+AW36+AZ36+BD36+BR36+AB36)</f>
        <v>4.0000000008149073E-3</v>
      </c>
      <c r="BW36" s="237" t="s">
        <v>362</v>
      </c>
      <c r="BX36" s="139" t="s">
        <v>302</v>
      </c>
      <c r="BY36" s="140" t="s">
        <v>320</v>
      </c>
      <c r="BZ36" s="29">
        <f>L36-X36-AE36-BN36-AL36-AS36-AZ36</f>
        <v>2485.6427272727256</v>
      </c>
      <c r="CA36" s="30">
        <f>V36/1.1-Y36-AF36-BO36-AM36-AT36-BA36</f>
        <v>44666</v>
      </c>
      <c r="CB36" s="71"/>
      <c r="CC36" s="12" t="s">
        <v>284</v>
      </c>
    </row>
    <row r="37" spans="1:81" s="13" customFormat="1" ht="49.5" customHeight="1" x14ac:dyDescent="0.2">
      <c r="A37" s="16">
        <v>9</v>
      </c>
      <c r="B37" s="22" t="s">
        <v>379</v>
      </c>
      <c r="C37" s="22" t="s">
        <v>155</v>
      </c>
      <c r="D37" s="17" t="s">
        <v>156</v>
      </c>
      <c r="E37" s="33"/>
      <c r="F37" s="33"/>
      <c r="G37" s="22" t="s">
        <v>157</v>
      </c>
      <c r="H37" s="22"/>
      <c r="I37" s="35" t="s">
        <v>158</v>
      </c>
      <c r="J37" s="36">
        <v>33314</v>
      </c>
      <c r="K37" s="92">
        <f t="shared" si="28"/>
        <v>-4067</v>
      </c>
      <c r="L37" s="92">
        <v>29247</v>
      </c>
      <c r="M37" s="96"/>
      <c r="N37" s="96"/>
      <c r="O37" s="100"/>
      <c r="P37" s="100"/>
      <c r="Q37" s="105"/>
      <c r="R37" s="105"/>
      <c r="S37" s="100"/>
      <c r="T37" s="100"/>
      <c r="U37" s="184">
        <f t="shared" si="6"/>
        <v>29247</v>
      </c>
      <c r="V37" s="36">
        <f>2380479*1.1</f>
        <v>2618526.9000000004</v>
      </c>
      <c r="W37" s="44">
        <f t="shared" si="25"/>
        <v>78.601395809569567</v>
      </c>
      <c r="X37" s="37">
        <f>J37*0.4/1.1</f>
        <v>12114.181818181818</v>
      </c>
      <c r="Y37" s="38">
        <v>952175</v>
      </c>
      <c r="Z37" s="54" t="s">
        <v>180</v>
      </c>
      <c r="AA37" s="37">
        <f t="shared" si="30"/>
        <v>78.600025514798588</v>
      </c>
      <c r="AB37" s="37">
        <f t="shared" si="31"/>
        <v>1211.4181818181819</v>
      </c>
      <c r="AC37" s="38">
        <f>AB37*20828</f>
        <v>25231417.890909091</v>
      </c>
      <c r="AD37" s="38" t="s">
        <v>192</v>
      </c>
      <c r="AE37" s="39">
        <v>12114.18</v>
      </c>
      <c r="AF37" s="40">
        <v>1186211</v>
      </c>
      <c r="AG37" s="40" t="s">
        <v>241</v>
      </c>
      <c r="AH37" s="39">
        <f t="shared" si="20"/>
        <v>97.919215332775309</v>
      </c>
      <c r="AI37" s="39">
        <f t="shared" si="26"/>
        <v>1211.4180000000001</v>
      </c>
      <c r="AJ37" s="40">
        <f t="shared" si="27"/>
        <v>25231414.104000002</v>
      </c>
      <c r="AK37" s="101" t="s">
        <v>259</v>
      </c>
      <c r="AL37" s="64">
        <f>2595.8/1.1</f>
        <v>2359.818181818182</v>
      </c>
      <c r="AM37" s="65">
        <v>230672</v>
      </c>
      <c r="AN37" s="65" t="s">
        <v>313</v>
      </c>
      <c r="AO37" s="64">
        <f t="shared" ref="AO37:AO42" si="34">AM37/AL37</f>
        <v>97.749903690577085</v>
      </c>
      <c r="AP37" s="64">
        <f t="shared" ref="AP37:AP42" si="35">AL37*0.1</f>
        <v>235.9818181818182</v>
      </c>
      <c r="AQ37" s="65">
        <f t="shared" ref="AQ37:AQ42" si="36">AP37*21036</f>
        <v>4964113.5272727273</v>
      </c>
      <c r="AR37" s="156" t="s">
        <v>323</v>
      </c>
      <c r="AS37" s="37"/>
      <c r="AT37" s="38"/>
      <c r="AU37" s="38"/>
      <c r="AV37" s="37"/>
      <c r="AW37" s="37"/>
      <c r="AX37" s="38"/>
      <c r="AY37" s="38"/>
      <c r="AZ37" s="85"/>
      <c r="BA37" s="86"/>
      <c r="BB37" s="86"/>
      <c r="BC37" s="85"/>
      <c r="BD37" s="85"/>
      <c r="BE37" s="86"/>
      <c r="BF37" s="86"/>
      <c r="BG37" s="282"/>
      <c r="BH37" s="282"/>
      <c r="BI37" s="282"/>
      <c r="BJ37" s="282"/>
      <c r="BK37" s="282"/>
      <c r="BL37" s="282"/>
      <c r="BM37" s="282"/>
      <c r="BN37" s="41"/>
      <c r="BO37" s="127"/>
      <c r="BP37" s="41"/>
      <c r="BQ37" s="41"/>
      <c r="BR37" s="41"/>
      <c r="BS37" s="127"/>
      <c r="BT37" s="41"/>
      <c r="BU37" s="8">
        <f t="shared" si="23"/>
        <v>29246.998</v>
      </c>
      <c r="BV37" s="263">
        <f t="shared" si="33"/>
        <v>2.0000000004074536E-3</v>
      </c>
      <c r="BW37" s="237"/>
      <c r="BX37" s="139" t="s">
        <v>395</v>
      </c>
      <c r="BY37" s="139"/>
      <c r="BZ37" s="29">
        <f t="shared" si="29"/>
        <v>2658.8200000000015</v>
      </c>
      <c r="CA37" s="30">
        <f t="shared" si="24"/>
        <v>11421</v>
      </c>
      <c r="CB37" s="42"/>
      <c r="CC37" s="12" t="s">
        <v>284</v>
      </c>
    </row>
    <row r="38" spans="1:81" s="13" customFormat="1" ht="49.5" customHeight="1" x14ac:dyDescent="0.2">
      <c r="A38" s="16">
        <v>10</v>
      </c>
      <c r="B38" s="22" t="s">
        <v>110</v>
      </c>
      <c r="C38" s="22" t="s">
        <v>103</v>
      </c>
      <c r="D38" s="33" t="s">
        <v>104</v>
      </c>
      <c r="E38" s="33"/>
      <c r="F38" s="33"/>
      <c r="G38" s="22" t="s">
        <v>85</v>
      </c>
      <c r="H38" s="22"/>
      <c r="I38" s="35" t="s">
        <v>105</v>
      </c>
      <c r="J38" s="36">
        <v>92950</v>
      </c>
      <c r="K38" s="92">
        <f t="shared" si="28"/>
        <v>-550</v>
      </c>
      <c r="L38" s="92">
        <v>92400</v>
      </c>
      <c r="M38" s="96"/>
      <c r="N38" s="96"/>
      <c r="O38" s="100"/>
      <c r="P38" s="100"/>
      <c r="Q38" s="105"/>
      <c r="R38" s="105"/>
      <c r="S38" s="100"/>
      <c r="T38" s="100"/>
      <c r="U38" s="184">
        <f t="shared" si="6"/>
        <v>92400</v>
      </c>
      <c r="V38" s="36">
        <v>7371864</v>
      </c>
      <c r="W38" s="44">
        <f t="shared" si="25"/>
        <v>79.309994620763845</v>
      </c>
      <c r="X38" s="37">
        <f>J38/1.1*0.4</f>
        <v>33800</v>
      </c>
      <c r="Y38" s="38">
        <v>2642146</v>
      </c>
      <c r="Z38" s="60" t="s">
        <v>167</v>
      </c>
      <c r="AA38" s="37">
        <f>Y38/X38</f>
        <v>78.17</v>
      </c>
      <c r="AB38" s="37">
        <f t="shared" si="31"/>
        <v>3380</v>
      </c>
      <c r="AC38" s="38">
        <v>70398640</v>
      </c>
      <c r="AD38" s="59" t="s">
        <v>166</v>
      </c>
      <c r="AE38" s="39">
        <v>33800</v>
      </c>
      <c r="AF38" s="40">
        <v>2926404</v>
      </c>
      <c r="AG38" s="67" t="s">
        <v>213</v>
      </c>
      <c r="AH38" s="10">
        <f t="shared" si="20"/>
        <v>86.58</v>
      </c>
      <c r="AI38" s="39">
        <f t="shared" si="26"/>
        <v>3380</v>
      </c>
      <c r="AJ38" s="40">
        <f t="shared" si="27"/>
        <v>70398640</v>
      </c>
      <c r="AK38" s="67" t="s">
        <v>217</v>
      </c>
      <c r="AL38" s="64">
        <v>16400</v>
      </c>
      <c r="AM38" s="65">
        <v>1613104</v>
      </c>
      <c r="AN38" s="130" t="s">
        <v>309</v>
      </c>
      <c r="AO38" s="64">
        <f t="shared" si="34"/>
        <v>98.36</v>
      </c>
      <c r="AP38" s="64">
        <f t="shared" si="35"/>
        <v>1640</v>
      </c>
      <c r="AQ38" s="65">
        <f t="shared" si="36"/>
        <v>34499040</v>
      </c>
      <c r="AR38" s="65" t="s">
        <v>315</v>
      </c>
      <c r="AS38" s="37"/>
      <c r="AT38" s="38"/>
      <c r="AU38" s="38"/>
      <c r="AV38" s="37"/>
      <c r="AW38" s="37"/>
      <c r="AX38" s="38"/>
      <c r="AY38" s="38"/>
      <c r="AZ38" s="85"/>
      <c r="BA38" s="86"/>
      <c r="BB38" s="86"/>
      <c r="BC38" s="85"/>
      <c r="BD38" s="85"/>
      <c r="BE38" s="86"/>
      <c r="BF38" s="86"/>
      <c r="BG38" s="282"/>
      <c r="BH38" s="282"/>
      <c r="BI38" s="282"/>
      <c r="BJ38" s="282"/>
      <c r="BK38" s="282"/>
      <c r="BL38" s="282"/>
      <c r="BM38" s="282"/>
      <c r="BN38" s="41"/>
      <c r="BO38" s="127"/>
      <c r="BP38" s="41"/>
      <c r="BQ38" s="41"/>
      <c r="BR38" s="41"/>
      <c r="BS38" s="127"/>
      <c r="BT38" s="41"/>
      <c r="BU38" s="8">
        <f t="shared" si="23"/>
        <v>92400</v>
      </c>
      <c r="BV38" s="263">
        <f t="shared" si="33"/>
        <v>0</v>
      </c>
      <c r="BW38" s="237"/>
      <c r="BX38" s="139" t="s">
        <v>395</v>
      </c>
      <c r="BY38" s="139"/>
      <c r="BZ38" s="29">
        <f t="shared" si="29"/>
        <v>8400</v>
      </c>
      <c r="CA38" s="30">
        <f t="shared" si="24"/>
        <v>-479959.45454545505</v>
      </c>
      <c r="CB38" s="42" t="s">
        <v>112</v>
      </c>
      <c r="CC38" s="12" t="s">
        <v>284</v>
      </c>
    </row>
    <row r="39" spans="1:81" s="13" customFormat="1" ht="49.5" customHeight="1" x14ac:dyDescent="0.2">
      <c r="A39" s="16">
        <v>11</v>
      </c>
      <c r="B39" s="22" t="s">
        <v>380</v>
      </c>
      <c r="C39" s="22" t="s">
        <v>155</v>
      </c>
      <c r="D39" s="17" t="s">
        <v>156</v>
      </c>
      <c r="E39" s="33"/>
      <c r="F39" s="33"/>
      <c r="G39" s="22" t="s">
        <v>157</v>
      </c>
      <c r="H39" s="22"/>
      <c r="I39" s="35" t="s">
        <v>182</v>
      </c>
      <c r="J39" s="36">
        <v>24691</v>
      </c>
      <c r="K39" s="38">
        <f t="shared" si="28"/>
        <v>18712.800000000003</v>
      </c>
      <c r="L39" s="38">
        <v>43403.8</v>
      </c>
      <c r="M39" s="96"/>
      <c r="N39" s="96"/>
      <c r="O39" s="100"/>
      <c r="P39" s="100"/>
      <c r="Q39" s="105"/>
      <c r="R39" s="105"/>
      <c r="S39" s="100"/>
      <c r="T39" s="100"/>
      <c r="U39" s="184">
        <f t="shared" si="6"/>
        <v>43403.8</v>
      </c>
      <c r="V39" s="36">
        <f>3607652*1.1</f>
        <v>3968417.2</v>
      </c>
      <c r="W39" s="44">
        <f t="shared" si="25"/>
        <v>160.72322708679278</v>
      </c>
      <c r="X39" s="37">
        <f>J39*0.4/1.1</f>
        <v>8978.5454545454559</v>
      </c>
      <c r="Y39" s="38">
        <v>705671</v>
      </c>
      <c r="Z39" s="54" t="s">
        <v>180</v>
      </c>
      <c r="AA39" s="37">
        <f>Y39/X39</f>
        <v>78.595247256085202</v>
      </c>
      <c r="AB39" s="37">
        <f t="shared" si="31"/>
        <v>897.85454545454559</v>
      </c>
      <c r="AC39" s="38">
        <f t="shared" ref="AC39" si="37">AB39*20828</f>
        <v>18700514.472727276</v>
      </c>
      <c r="AD39" s="38" t="s">
        <v>192</v>
      </c>
      <c r="AE39" s="39">
        <v>8978.5499999999993</v>
      </c>
      <c r="AF39" s="40">
        <v>908450</v>
      </c>
      <c r="AG39" s="40" t="s">
        <v>250</v>
      </c>
      <c r="AH39" s="10">
        <f t="shared" si="20"/>
        <v>101.18003463810973</v>
      </c>
      <c r="AI39" s="39">
        <f t="shared" si="26"/>
        <v>897.85500000000002</v>
      </c>
      <c r="AJ39" s="40">
        <f t="shared" si="27"/>
        <v>18700523.940000001</v>
      </c>
      <c r="AK39" s="101" t="s">
        <v>259</v>
      </c>
      <c r="AL39" s="64">
        <f>2965.5/1.1</f>
        <v>2695.9090909090905</v>
      </c>
      <c r="AM39" s="65">
        <v>263525</v>
      </c>
      <c r="AN39" s="65" t="s">
        <v>313</v>
      </c>
      <c r="AO39" s="64">
        <f t="shared" si="34"/>
        <v>97.74995784859216</v>
      </c>
      <c r="AP39" s="64">
        <f t="shared" si="35"/>
        <v>269.59090909090907</v>
      </c>
      <c r="AQ39" s="65">
        <f t="shared" si="36"/>
        <v>5671114.3636363633</v>
      </c>
      <c r="AR39" s="156" t="s">
        <v>323</v>
      </c>
      <c r="AS39" s="37">
        <f>10342.75/1.1</f>
        <v>9402.5</v>
      </c>
      <c r="AT39" s="38">
        <v>963004</v>
      </c>
      <c r="AU39" s="59" t="s">
        <v>322</v>
      </c>
      <c r="AV39" s="37">
        <f>AT39/AS39</f>
        <v>102.41999468226535</v>
      </c>
      <c r="AW39" s="37">
        <f>AS39*0.1</f>
        <v>940.25</v>
      </c>
      <c r="AX39" s="38">
        <f>AW39*21036</f>
        <v>19779099</v>
      </c>
      <c r="AY39" s="38" t="s">
        <v>342</v>
      </c>
      <c r="AZ39" s="85">
        <v>9402.5</v>
      </c>
      <c r="BA39" s="86">
        <v>987733</v>
      </c>
      <c r="BB39" s="86" t="s">
        <v>343</v>
      </c>
      <c r="BC39" s="85">
        <f>BA39/AZ39</f>
        <v>105.05003988300984</v>
      </c>
      <c r="BD39" s="85">
        <f>AZ39*0.1</f>
        <v>940.25</v>
      </c>
      <c r="BE39" s="86">
        <f>BD39*21036</f>
        <v>19779099</v>
      </c>
      <c r="BF39" s="86" t="s">
        <v>347</v>
      </c>
      <c r="BG39" s="282"/>
      <c r="BH39" s="282"/>
      <c r="BI39" s="282"/>
      <c r="BJ39" s="282"/>
      <c r="BK39" s="282"/>
      <c r="BL39" s="282"/>
      <c r="BM39" s="282"/>
      <c r="BN39" s="41"/>
      <c r="BO39" s="127"/>
      <c r="BP39" s="41"/>
      <c r="BQ39" s="41"/>
      <c r="BR39" s="41"/>
      <c r="BS39" s="127"/>
      <c r="BT39" s="41"/>
      <c r="BU39" s="8">
        <f t="shared" si="23"/>
        <v>43403.805</v>
      </c>
      <c r="BV39" s="263">
        <f t="shared" si="33"/>
        <v>-4.9999999973806553E-3</v>
      </c>
      <c r="BW39" s="237"/>
      <c r="BX39" s="139" t="s">
        <v>395</v>
      </c>
      <c r="BY39" s="139"/>
      <c r="BZ39" s="29">
        <f t="shared" si="29"/>
        <v>3945.7954545454559</v>
      </c>
      <c r="CA39" s="30">
        <f t="shared" si="24"/>
        <v>-220731</v>
      </c>
      <c r="CB39" s="42"/>
      <c r="CC39" s="12" t="s">
        <v>284</v>
      </c>
    </row>
    <row r="40" spans="1:81" s="13" customFormat="1" ht="49.5" customHeight="1" x14ac:dyDescent="0.2">
      <c r="A40" s="16">
        <v>12</v>
      </c>
      <c r="B40" s="22" t="s">
        <v>170</v>
      </c>
      <c r="C40" s="22" t="s">
        <v>120</v>
      </c>
      <c r="D40" s="33" t="s">
        <v>121</v>
      </c>
      <c r="E40" s="33"/>
      <c r="F40" s="33"/>
      <c r="G40" s="22" t="s">
        <v>122</v>
      </c>
      <c r="H40" s="22"/>
      <c r="I40" s="35" t="s">
        <v>124</v>
      </c>
      <c r="J40" s="36">
        <v>66217</v>
      </c>
      <c r="K40" s="92">
        <f t="shared" si="28"/>
        <v>-7916.760000000002</v>
      </c>
      <c r="L40" s="92">
        <f>58300+0.24</f>
        <v>58300.24</v>
      </c>
      <c r="M40" s="96"/>
      <c r="N40" s="96"/>
      <c r="O40" s="100"/>
      <c r="P40" s="100"/>
      <c r="Q40" s="105"/>
      <c r="R40" s="105"/>
      <c r="S40" s="100"/>
      <c r="T40" s="100"/>
      <c r="U40" s="184">
        <f t="shared" si="6"/>
        <v>58300.24</v>
      </c>
      <c r="V40" s="36">
        <f>4774224*1.1</f>
        <v>5251646.4000000004</v>
      </c>
      <c r="W40" s="44">
        <f t="shared" si="25"/>
        <v>79.309639518552643</v>
      </c>
      <c r="X40" s="37">
        <f>J40*0.4/1.1</f>
        <v>24078.909090909092</v>
      </c>
      <c r="Y40" s="38">
        <v>1868523</v>
      </c>
      <c r="Z40" s="54" t="s">
        <v>171</v>
      </c>
      <c r="AA40" s="37">
        <f t="shared" ref="AA40:AA47" si="38">Y40/X40</f>
        <v>77.599985653231045</v>
      </c>
      <c r="AB40" s="37">
        <f t="shared" si="31"/>
        <v>2407.8909090909092</v>
      </c>
      <c r="AC40" s="38">
        <f>AB40*20828</f>
        <v>50151551.854545459</v>
      </c>
      <c r="AD40" s="59" t="s">
        <v>178</v>
      </c>
      <c r="AE40" s="39">
        <v>24078.91</v>
      </c>
      <c r="AF40" s="40">
        <v>2227540</v>
      </c>
      <c r="AG40" s="101" t="s">
        <v>227</v>
      </c>
      <c r="AH40" s="10">
        <f t="shared" si="20"/>
        <v>92.510001490931273</v>
      </c>
      <c r="AI40" s="39">
        <f t="shared" si="26"/>
        <v>2407.8910000000001</v>
      </c>
      <c r="AJ40" s="40">
        <f t="shared" si="27"/>
        <v>50151553.748000003</v>
      </c>
      <c r="AK40" s="40" t="s">
        <v>243</v>
      </c>
      <c r="AL40" s="64">
        <f>5326.64/1.1</f>
        <v>4842.3999999999996</v>
      </c>
      <c r="AM40" s="65">
        <v>495959</v>
      </c>
      <c r="AN40" s="156" t="s">
        <v>322</v>
      </c>
      <c r="AO40" s="64">
        <f t="shared" si="34"/>
        <v>102.42008095159426</v>
      </c>
      <c r="AP40" s="64">
        <f t="shared" si="35"/>
        <v>484.24</v>
      </c>
      <c r="AQ40" s="65">
        <f t="shared" si="36"/>
        <v>10186472.640000001</v>
      </c>
      <c r="AR40" s="156" t="s">
        <v>342</v>
      </c>
      <c r="AS40" s="37"/>
      <c r="AT40" s="38"/>
      <c r="AU40" s="38"/>
      <c r="AV40" s="37"/>
      <c r="AW40" s="37"/>
      <c r="AX40" s="38"/>
      <c r="AY40" s="38"/>
      <c r="AZ40" s="85"/>
      <c r="BA40" s="86"/>
      <c r="BB40" s="86"/>
      <c r="BC40" s="85"/>
      <c r="BD40" s="85"/>
      <c r="BE40" s="86"/>
      <c r="BF40" s="86"/>
      <c r="BG40" s="282"/>
      <c r="BH40" s="282"/>
      <c r="BI40" s="282"/>
      <c r="BJ40" s="282"/>
      <c r="BK40" s="282"/>
      <c r="BL40" s="282"/>
      <c r="BM40" s="282"/>
      <c r="BN40" s="41"/>
      <c r="BO40" s="127"/>
      <c r="BP40" s="41"/>
      <c r="BQ40" s="41"/>
      <c r="BR40" s="41"/>
      <c r="BS40" s="127"/>
      <c r="BT40" s="41"/>
      <c r="BU40" s="8">
        <f t="shared" si="23"/>
        <v>58300.241000000009</v>
      </c>
      <c r="BV40" s="263">
        <f t="shared" si="33"/>
        <v>-1.0000000038417056E-3</v>
      </c>
      <c r="BW40" s="237"/>
      <c r="BX40" s="139" t="s">
        <v>395</v>
      </c>
      <c r="BY40" s="139"/>
      <c r="BZ40" s="29">
        <f t="shared" si="29"/>
        <v>5300.0209090909029</v>
      </c>
      <c r="CA40" s="30">
        <f t="shared" si="24"/>
        <v>182202</v>
      </c>
      <c r="CB40" s="42"/>
      <c r="CC40" s="12" t="s">
        <v>284</v>
      </c>
    </row>
    <row r="41" spans="1:81" s="13" customFormat="1" ht="49.5" customHeight="1" x14ac:dyDescent="0.2">
      <c r="A41" s="16">
        <v>13</v>
      </c>
      <c r="B41" s="22" t="s">
        <v>374</v>
      </c>
      <c r="C41" s="22" t="s">
        <v>5</v>
      </c>
      <c r="D41" s="33" t="s">
        <v>6</v>
      </c>
      <c r="E41" s="33"/>
      <c r="F41" s="33"/>
      <c r="G41" s="22" t="s">
        <v>113</v>
      </c>
      <c r="H41" s="22"/>
      <c r="I41" s="35" t="s">
        <v>114</v>
      </c>
      <c r="J41" s="36">
        <v>52429</v>
      </c>
      <c r="K41" s="92">
        <f t="shared" si="28"/>
        <v>-1444.2200000000012</v>
      </c>
      <c r="L41" s="92">
        <v>50984.78</v>
      </c>
      <c r="M41" s="96"/>
      <c r="N41" s="96"/>
      <c r="O41" s="100"/>
      <c r="P41" s="100"/>
      <c r="Q41" s="105"/>
      <c r="R41" s="105"/>
      <c r="S41" s="100"/>
      <c r="T41" s="100"/>
      <c r="U41" s="184">
        <f t="shared" si="6"/>
        <v>50984.78</v>
      </c>
      <c r="V41" s="36">
        <f>1.1*3780152</f>
        <v>4158167.2</v>
      </c>
      <c r="W41" s="44">
        <f t="shared" si="25"/>
        <v>79.310442693928934</v>
      </c>
      <c r="X41" s="37">
        <f>20971/1.1</f>
        <v>19064.545454545452</v>
      </c>
      <c r="Y41" s="38">
        <v>1498509</v>
      </c>
      <c r="Z41" s="54">
        <v>41223</v>
      </c>
      <c r="AA41" s="37">
        <f t="shared" si="38"/>
        <v>78.601874016498982</v>
      </c>
      <c r="AB41" s="37">
        <f t="shared" si="31"/>
        <v>1906.4545454545453</v>
      </c>
      <c r="AC41" s="38">
        <v>39708582</v>
      </c>
      <c r="AD41" s="59" t="s">
        <v>176</v>
      </c>
      <c r="AE41" s="39">
        <f>20971/1.1</f>
        <v>19064.545454545452</v>
      </c>
      <c r="AF41" s="40">
        <v>1763662</v>
      </c>
      <c r="AG41" s="67" t="s">
        <v>215</v>
      </c>
      <c r="AH41" s="10">
        <f t="shared" si="20"/>
        <v>92.510047208049215</v>
      </c>
      <c r="AI41" s="39">
        <f t="shared" si="26"/>
        <v>1906.4545454545453</v>
      </c>
      <c r="AJ41" s="40">
        <v>39707635</v>
      </c>
      <c r="AK41" s="67" t="s">
        <v>231</v>
      </c>
      <c r="AL41" s="61">
        <f>9042.78/1.1</f>
        <v>8220.7090909090912</v>
      </c>
      <c r="AM41" s="65">
        <v>808589</v>
      </c>
      <c r="AN41" s="142" t="s">
        <v>308</v>
      </c>
      <c r="AO41" s="64">
        <f t="shared" si="34"/>
        <v>98.360006546659321</v>
      </c>
      <c r="AP41" s="64">
        <f t="shared" si="35"/>
        <v>822.07090909090914</v>
      </c>
      <c r="AQ41" s="65">
        <f t="shared" si="36"/>
        <v>17293083.643636364</v>
      </c>
      <c r="AR41" s="65" t="s">
        <v>315</v>
      </c>
      <c r="AS41" s="8"/>
      <c r="AT41" s="38"/>
      <c r="AU41" s="38"/>
      <c r="AV41" s="37"/>
      <c r="AW41" s="37"/>
      <c r="AX41" s="38"/>
      <c r="AY41" s="38"/>
      <c r="AZ41" s="83"/>
      <c r="BA41" s="86"/>
      <c r="BB41" s="86"/>
      <c r="BC41" s="85"/>
      <c r="BD41" s="85"/>
      <c r="BE41" s="86"/>
      <c r="BF41" s="86"/>
      <c r="BG41" s="282"/>
      <c r="BH41" s="282"/>
      <c r="BI41" s="282"/>
      <c r="BJ41" s="282"/>
      <c r="BK41" s="282"/>
      <c r="BL41" s="282"/>
      <c r="BM41" s="282"/>
      <c r="BN41" s="41"/>
      <c r="BO41" s="127"/>
      <c r="BP41" s="41"/>
      <c r="BQ41" s="41"/>
      <c r="BR41" s="41"/>
      <c r="BS41" s="127"/>
      <c r="BT41" s="41"/>
      <c r="BU41" s="8">
        <f t="shared" si="23"/>
        <v>50984.779999999992</v>
      </c>
      <c r="BV41" s="263">
        <f t="shared" si="33"/>
        <v>0</v>
      </c>
      <c r="BW41" s="237"/>
      <c r="BX41" s="139" t="s">
        <v>395</v>
      </c>
      <c r="BY41" s="139"/>
      <c r="BZ41" s="29">
        <f t="shared" si="29"/>
        <v>4634.9800000000032</v>
      </c>
      <c r="CA41" s="30">
        <f t="shared" si="24"/>
        <v>-290608</v>
      </c>
      <c r="CB41" s="42"/>
      <c r="CC41" s="12" t="s">
        <v>284</v>
      </c>
    </row>
    <row r="42" spans="1:81" s="13" customFormat="1" ht="49.5" customHeight="1" x14ac:dyDescent="0.2">
      <c r="A42" s="16">
        <v>14</v>
      </c>
      <c r="B42" s="22" t="s">
        <v>169</v>
      </c>
      <c r="C42" s="22" t="s">
        <v>120</v>
      </c>
      <c r="D42" s="33" t="s">
        <v>121</v>
      </c>
      <c r="E42" s="33"/>
      <c r="F42" s="33"/>
      <c r="G42" s="22" t="s">
        <v>122</v>
      </c>
      <c r="H42" s="22"/>
      <c r="I42" s="35" t="s">
        <v>123</v>
      </c>
      <c r="J42" s="36">
        <v>58702</v>
      </c>
      <c r="K42" s="92">
        <f t="shared" si="28"/>
        <v>5098.4000000000015</v>
      </c>
      <c r="L42" s="92">
        <f>63800+0.4</f>
        <v>63800.4</v>
      </c>
      <c r="M42" s="96"/>
      <c r="N42" s="96"/>
      <c r="O42" s="100"/>
      <c r="P42" s="100"/>
      <c r="Q42" s="105"/>
      <c r="R42" s="105"/>
      <c r="S42" s="100"/>
      <c r="T42" s="100"/>
      <c r="U42" s="184">
        <f t="shared" si="6"/>
        <v>63800.4</v>
      </c>
      <c r="V42" s="36">
        <f>1.1*4232378</f>
        <v>4655615.8000000007</v>
      </c>
      <c r="W42" s="44">
        <f t="shared" si="25"/>
        <v>79.309321658546565</v>
      </c>
      <c r="X42" s="37">
        <f>J42*0.4/1.1</f>
        <v>21346.18181818182</v>
      </c>
      <c r="Y42" s="38">
        <v>1656464</v>
      </c>
      <c r="Z42" s="54" t="s">
        <v>171</v>
      </c>
      <c r="AA42" s="37">
        <f t="shared" si="38"/>
        <v>77.600013628155764</v>
      </c>
      <c r="AB42" s="37">
        <f t="shared" si="31"/>
        <v>2134.6181818181822</v>
      </c>
      <c r="AC42" s="38">
        <f>AB42*20828</f>
        <v>44459827.4909091</v>
      </c>
      <c r="AD42" s="59" t="s">
        <v>178</v>
      </c>
      <c r="AE42" s="39">
        <f>X42</f>
        <v>21346.18181818182</v>
      </c>
      <c r="AF42" s="40">
        <v>1974735</v>
      </c>
      <c r="AG42" s="101" t="s">
        <v>227</v>
      </c>
      <c r="AH42" s="10">
        <f t="shared" si="20"/>
        <v>92.509986882900066</v>
      </c>
      <c r="AI42" s="39">
        <f t="shared" si="26"/>
        <v>2134.6181818181822</v>
      </c>
      <c r="AJ42" s="40">
        <f>AI42*20828</f>
        <v>44459827.4909091</v>
      </c>
      <c r="AK42" s="67" t="s">
        <v>231</v>
      </c>
      <c r="AL42" s="64">
        <f>16838.8/1.1</f>
        <v>15307.999999999998</v>
      </c>
      <c r="AM42" s="65">
        <v>1567845</v>
      </c>
      <c r="AN42" s="156" t="s">
        <v>322</v>
      </c>
      <c r="AO42" s="64">
        <f t="shared" si="34"/>
        <v>102.41997648288478</v>
      </c>
      <c r="AP42" s="64">
        <f t="shared" si="35"/>
        <v>1530.8</v>
      </c>
      <c r="AQ42" s="65">
        <f t="shared" si="36"/>
        <v>32201908.800000001</v>
      </c>
      <c r="AR42" s="156" t="s">
        <v>342</v>
      </c>
      <c r="AS42" s="37"/>
      <c r="AT42" s="38"/>
      <c r="AU42" s="38"/>
      <c r="AV42" s="37"/>
      <c r="AW42" s="37"/>
      <c r="AX42" s="38"/>
      <c r="AY42" s="38"/>
      <c r="AZ42" s="85"/>
      <c r="BA42" s="86"/>
      <c r="BB42" s="86"/>
      <c r="BC42" s="85"/>
      <c r="BD42" s="85"/>
      <c r="BE42" s="86"/>
      <c r="BF42" s="86"/>
      <c r="BG42" s="282"/>
      <c r="BH42" s="282"/>
      <c r="BI42" s="282"/>
      <c r="BJ42" s="282"/>
      <c r="BK42" s="282"/>
      <c r="BL42" s="282"/>
      <c r="BM42" s="282"/>
      <c r="BN42" s="41"/>
      <c r="BO42" s="127"/>
      <c r="BP42" s="41"/>
      <c r="BQ42" s="41"/>
      <c r="BR42" s="41"/>
      <c r="BS42" s="127"/>
      <c r="BT42" s="41"/>
      <c r="BU42" s="8">
        <f t="shared" si="23"/>
        <v>63800.400000000009</v>
      </c>
      <c r="BV42" s="263">
        <f t="shared" si="33"/>
        <v>0</v>
      </c>
      <c r="BW42" s="237"/>
      <c r="BX42" s="139" t="s">
        <v>395</v>
      </c>
      <c r="BY42" s="139"/>
      <c r="BZ42" s="29">
        <f t="shared" si="29"/>
        <v>5800.0363636363672</v>
      </c>
      <c r="CA42" s="30">
        <f t="shared" si="24"/>
        <v>-966666</v>
      </c>
      <c r="CB42" s="42"/>
      <c r="CC42" s="12" t="s">
        <v>284</v>
      </c>
    </row>
    <row r="43" spans="1:81" s="13" customFormat="1" ht="49.5" customHeight="1" x14ac:dyDescent="0.2">
      <c r="A43" s="16">
        <v>15</v>
      </c>
      <c r="B43" s="22" t="s">
        <v>172</v>
      </c>
      <c r="C43" s="16" t="s">
        <v>1</v>
      </c>
      <c r="D43" s="17" t="s">
        <v>2</v>
      </c>
      <c r="E43" s="33"/>
      <c r="F43" s="33"/>
      <c r="G43" s="22" t="s">
        <v>149</v>
      </c>
      <c r="H43" s="22"/>
      <c r="I43" s="35" t="s">
        <v>151</v>
      </c>
      <c r="J43" s="36">
        <v>99000</v>
      </c>
      <c r="K43" s="92">
        <f t="shared" si="28"/>
        <v>-3300</v>
      </c>
      <c r="L43" s="92">
        <v>95700</v>
      </c>
      <c r="M43" s="96"/>
      <c r="N43" s="96"/>
      <c r="O43" s="100"/>
      <c r="P43" s="100"/>
      <c r="Q43" s="105"/>
      <c r="R43" s="105"/>
      <c r="S43" s="100"/>
      <c r="T43" s="100"/>
      <c r="U43" s="184">
        <f t="shared" si="6"/>
        <v>95700</v>
      </c>
      <c r="V43" s="36">
        <f>7074000*1.1</f>
        <v>7781400.0000000009</v>
      </c>
      <c r="W43" s="44">
        <f t="shared" si="25"/>
        <v>78.600000000000009</v>
      </c>
      <c r="X43" s="37">
        <f>J43*0.4/1.1</f>
        <v>36000</v>
      </c>
      <c r="Y43" s="38">
        <v>2793600</v>
      </c>
      <c r="Z43" s="54" t="s">
        <v>171</v>
      </c>
      <c r="AA43" s="37">
        <f t="shared" si="38"/>
        <v>77.599999999999994</v>
      </c>
      <c r="AB43" s="37">
        <f t="shared" si="31"/>
        <v>3600</v>
      </c>
      <c r="AC43" s="38">
        <f>AB43*20828</f>
        <v>74980800</v>
      </c>
      <c r="AD43" s="59" t="s">
        <v>186</v>
      </c>
      <c r="AE43" s="39">
        <v>36000</v>
      </c>
      <c r="AF43" s="40">
        <v>3642480</v>
      </c>
      <c r="AG43" s="67" t="s">
        <v>251</v>
      </c>
      <c r="AH43" s="10">
        <f t="shared" si="20"/>
        <v>101.18</v>
      </c>
      <c r="AI43" s="39">
        <f t="shared" si="26"/>
        <v>3600</v>
      </c>
      <c r="AJ43" s="40">
        <f>AI43*20828</f>
        <v>74980800</v>
      </c>
      <c r="AK43" s="40" t="s">
        <v>260</v>
      </c>
      <c r="AL43" s="64"/>
      <c r="AM43" s="65"/>
      <c r="AN43" s="65"/>
      <c r="AO43" s="64"/>
      <c r="AP43" s="64"/>
      <c r="AQ43" s="65"/>
      <c r="AR43" s="65"/>
      <c r="AS43" s="37"/>
      <c r="AT43" s="38"/>
      <c r="AU43" s="38"/>
      <c r="AV43" s="37"/>
      <c r="AW43" s="37"/>
      <c r="AX43" s="38"/>
      <c r="AY43" s="38"/>
      <c r="AZ43" s="85"/>
      <c r="BA43" s="86"/>
      <c r="BB43" s="86"/>
      <c r="BC43" s="85"/>
      <c r="BD43" s="85"/>
      <c r="BE43" s="86"/>
      <c r="BF43" s="86"/>
      <c r="BG43" s="282"/>
      <c r="BH43" s="282"/>
      <c r="BI43" s="282"/>
      <c r="BJ43" s="282"/>
      <c r="BK43" s="282"/>
      <c r="BL43" s="282"/>
      <c r="BM43" s="282"/>
      <c r="BN43" s="152">
        <v>15000</v>
      </c>
      <c r="BO43" s="154">
        <v>1804800</v>
      </c>
      <c r="BP43" s="152" t="s">
        <v>402</v>
      </c>
      <c r="BQ43" s="152">
        <f>BO43/BN43</f>
        <v>120.32</v>
      </c>
      <c r="BR43" s="152">
        <f>BN43*0.1</f>
        <v>1500</v>
      </c>
      <c r="BS43" s="154">
        <f>BR43*21458</f>
        <v>32187000</v>
      </c>
      <c r="BT43" s="379" t="s">
        <v>404</v>
      </c>
      <c r="BU43" s="8">
        <f>X43+AB43+AE43+AI43+AL43+AP43+AS43+AW43+AZ43+BD43+BN43+BR43</f>
        <v>95700</v>
      </c>
      <c r="BV43" s="263">
        <f t="shared" si="33"/>
        <v>0</v>
      </c>
      <c r="BW43" s="237" t="s">
        <v>362</v>
      </c>
      <c r="BX43" s="139" t="s">
        <v>302</v>
      </c>
      <c r="BY43" s="139" t="s">
        <v>320</v>
      </c>
      <c r="BZ43" s="29">
        <f t="shared" si="29"/>
        <v>8700</v>
      </c>
      <c r="CA43" s="30">
        <f t="shared" si="24"/>
        <v>-1166880</v>
      </c>
      <c r="CB43" s="42"/>
      <c r="CC43" s="12" t="s">
        <v>284</v>
      </c>
    </row>
    <row r="44" spans="1:81" s="13" customFormat="1" ht="49.5" customHeight="1" x14ac:dyDescent="0.2">
      <c r="A44" s="16">
        <v>16</v>
      </c>
      <c r="B44" s="22" t="s">
        <v>373</v>
      </c>
      <c r="C44" s="22" t="s">
        <v>5</v>
      </c>
      <c r="D44" s="33" t="s">
        <v>6</v>
      </c>
      <c r="E44" s="33"/>
      <c r="F44" s="33"/>
      <c r="G44" s="22" t="s">
        <v>113</v>
      </c>
      <c r="H44" s="22"/>
      <c r="I44" s="35" t="s">
        <v>115</v>
      </c>
      <c r="J44" s="36">
        <v>37706</v>
      </c>
      <c r="K44" s="92">
        <f t="shared" si="28"/>
        <v>8583.8700000000026</v>
      </c>
      <c r="L44" s="92">
        <v>46289.87</v>
      </c>
      <c r="M44" s="96"/>
      <c r="N44" s="96"/>
      <c r="O44" s="100"/>
      <c r="P44" s="100"/>
      <c r="Q44" s="105"/>
      <c r="R44" s="105"/>
      <c r="S44" s="100"/>
      <c r="T44" s="100"/>
      <c r="U44" s="184">
        <f t="shared" si="6"/>
        <v>46289.87</v>
      </c>
      <c r="V44" s="36">
        <f>1.1*2718588</f>
        <v>2990446.8000000003</v>
      </c>
      <c r="W44" s="44">
        <f t="shared" si="25"/>
        <v>79.309574073091824</v>
      </c>
      <c r="X44" s="37">
        <f>15082/1.1</f>
        <v>13710.90909090909</v>
      </c>
      <c r="Y44" s="38">
        <v>1077685</v>
      </c>
      <c r="Z44" s="54">
        <v>41223</v>
      </c>
      <c r="AA44" s="37">
        <f t="shared" si="38"/>
        <v>78.600550324890605</v>
      </c>
      <c r="AB44" s="37">
        <f t="shared" si="31"/>
        <v>1371.090909090909</v>
      </c>
      <c r="AC44" s="38">
        <v>28557271</v>
      </c>
      <c r="AD44" s="59" t="s">
        <v>176</v>
      </c>
      <c r="AE44" s="4">
        <f>15082/1.1</f>
        <v>13710.90909090909</v>
      </c>
      <c r="AF44" s="15">
        <v>1351787</v>
      </c>
      <c r="AG44" s="137" t="s">
        <v>261</v>
      </c>
      <c r="AH44" s="4">
        <f>AF44/AE44</f>
        <v>98.592076647659468</v>
      </c>
      <c r="AI44" s="4">
        <f t="shared" si="26"/>
        <v>1371.090909090909</v>
      </c>
      <c r="AJ44" s="15">
        <f>AI44*21036</f>
        <v>28842268.363636363</v>
      </c>
      <c r="AK44" s="15" t="s">
        <v>307</v>
      </c>
      <c r="AL44" s="64">
        <f>16125.87/1.1</f>
        <v>14659.881818181817</v>
      </c>
      <c r="AM44" s="65">
        <v>1441946</v>
      </c>
      <c r="AN44" s="142" t="s">
        <v>308</v>
      </c>
      <c r="AO44" s="64">
        <f t="shared" ref="AO44:AO49" si="39">AM44/AL44</f>
        <v>98.36000166192585</v>
      </c>
      <c r="AP44" s="64">
        <f t="shared" ref="AP44:AP49" si="40">AL44*0.1</f>
        <v>1465.9881818181818</v>
      </c>
      <c r="AQ44" s="65">
        <f>AP44*21036</f>
        <v>30838527.392727274</v>
      </c>
      <c r="AR44" s="65" t="s">
        <v>315</v>
      </c>
      <c r="AS44" s="37"/>
      <c r="AT44" s="38"/>
      <c r="AU44" s="38"/>
      <c r="AV44" s="37"/>
      <c r="AW44" s="37"/>
      <c r="AX44" s="38"/>
      <c r="AY44" s="38"/>
      <c r="AZ44" s="85"/>
      <c r="BA44" s="86"/>
      <c r="BB44" s="86"/>
      <c r="BC44" s="85"/>
      <c r="BD44" s="85"/>
      <c r="BE44" s="86"/>
      <c r="BF44" s="86"/>
      <c r="BG44" s="282"/>
      <c r="BH44" s="282"/>
      <c r="BI44" s="282"/>
      <c r="BJ44" s="282"/>
      <c r="BK44" s="282"/>
      <c r="BL44" s="282"/>
      <c r="BM44" s="282"/>
      <c r="BN44" s="41"/>
      <c r="BO44" s="127"/>
      <c r="BP44" s="41"/>
      <c r="BQ44" s="41"/>
      <c r="BR44" s="41"/>
      <c r="BS44" s="127"/>
      <c r="BT44" s="41"/>
      <c r="BU44" s="8">
        <f t="shared" si="23"/>
        <v>46289.869999999995</v>
      </c>
      <c r="BV44" s="263">
        <f t="shared" si="33"/>
        <v>0</v>
      </c>
      <c r="BW44" s="237"/>
      <c r="BX44" s="139" t="s">
        <v>395</v>
      </c>
      <c r="BY44" s="139"/>
      <c r="BZ44" s="29">
        <f t="shared" si="29"/>
        <v>4208.1700000000092</v>
      </c>
      <c r="CA44" s="30">
        <f t="shared" si="24"/>
        <v>-1152830</v>
      </c>
      <c r="CB44" s="42"/>
      <c r="CC44" s="12" t="s">
        <v>284</v>
      </c>
    </row>
    <row r="45" spans="1:81" s="13" customFormat="1" ht="49.5" customHeight="1" x14ac:dyDescent="0.2">
      <c r="A45" s="16">
        <v>17</v>
      </c>
      <c r="B45" s="22" t="s">
        <v>225</v>
      </c>
      <c r="C45" s="22" t="s">
        <v>116</v>
      </c>
      <c r="D45" s="33" t="s">
        <v>117</v>
      </c>
      <c r="E45" s="33"/>
      <c r="F45" s="33"/>
      <c r="G45" s="22" t="s">
        <v>77</v>
      </c>
      <c r="H45" s="22"/>
      <c r="I45" s="35" t="s">
        <v>119</v>
      </c>
      <c r="J45" s="36">
        <v>77000</v>
      </c>
      <c r="K45" s="92"/>
      <c r="L45" s="92"/>
      <c r="M45" s="96">
        <f>N45-J45</f>
        <v>25300</v>
      </c>
      <c r="N45" s="96">
        <v>102300</v>
      </c>
      <c r="O45" s="100"/>
      <c r="P45" s="100"/>
      <c r="Q45" s="105"/>
      <c r="R45" s="105"/>
      <c r="S45" s="100"/>
      <c r="T45" s="100"/>
      <c r="U45" s="184">
        <f t="shared" si="6"/>
        <v>102300</v>
      </c>
      <c r="V45" s="36">
        <f>11813305</f>
        <v>11813305</v>
      </c>
      <c r="W45" s="44">
        <f>V45/N45</f>
        <v>115.47707722385142</v>
      </c>
      <c r="X45" s="37">
        <v>28000</v>
      </c>
      <c r="Y45" s="38">
        <v>2188760</v>
      </c>
      <c r="Z45" s="60" t="s">
        <v>163</v>
      </c>
      <c r="AA45" s="37">
        <f t="shared" si="38"/>
        <v>78.17</v>
      </c>
      <c r="AB45" s="37">
        <f t="shared" si="31"/>
        <v>2800</v>
      </c>
      <c r="AC45" s="38">
        <v>58318400</v>
      </c>
      <c r="AD45" s="59" t="s">
        <v>166</v>
      </c>
      <c r="AE45" s="39">
        <f>J45*0.4/1.1</f>
        <v>27999.999999999996</v>
      </c>
      <c r="AF45" s="76">
        <v>2590280</v>
      </c>
      <c r="AG45" s="67" t="s">
        <v>223</v>
      </c>
      <c r="AH45" s="10">
        <f>AF45/AE45</f>
        <v>92.51</v>
      </c>
      <c r="AI45" s="39">
        <f t="shared" si="26"/>
        <v>2800</v>
      </c>
      <c r="AJ45" s="40">
        <f>AI45*20828</f>
        <v>58318400</v>
      </c>
      <c r="AK45" s="67" t="s">
        <v>229</v>
      </c>
      <c r="AL45" s="64">
        <v>21000</v>
      </c>
      <c r="AM45" s="142">
        <v>2059680</v>
      </c>
      <c r="AN45" s="143" t="s">
        <v>265</v>
      </c>
      <c r="AO45" s="64">
        <f t="shared" si="39"/>
        <v>98.08</v>
      </c>
      <c r="AP45" s="64">
        <f t="shared" si="40"/>
        <v>2100</v>
      </c>
      <c r="AQ45" s="65">
        <f>AP45*21036</f>
        <v>44175600</v>
      </c>
      <c r="AR45" s="65" t="s">
        <v>305</v>
      </c>
      <c r="AS45" s="37">
        <v>8000</v>
      </c>
      <c r="AT45" s="38">
        <v>786880</v>
      </c>
      <c r="AU45" s="155" t="s">
        <v>309</v>
      </c>
      <c r="AV45" s="37">
        <f>AT45/AS45</f>
        <v>98.36</v>
      </c>
      <c r="AW45" s="37">
        <f>AS45*0.1</f>
        <v>800</v>
      </c>
      <c r="AX45" s="38">
        <f>AW45*21036</f>
        <v>16828800</v>
      </c>
      <c r="AY45" s="59" t="s">
        <v>324</v>
      </c>
      <c r="AZ45" s="85"/>
      <c r="BA45" s="86"/>
      <c r="BB45" s="86"/>
      <c r="BC45" s="85"/>
      <c r="BD45" s="85"/>
      <c r="BE45" s="86"/>
      <c r="BF45" s="86"/>
      <c r="BG45" s="282"/>
      <c r="BH45" s="282"/>
      <c r="BI45" s="282"/>
      <c r="BJ45" s="282"/>
      <c r="BK45" s="282"/>
      <c r="BL45" s="282"/>
      <c r="BM45" s="282"/>
      <c r="BN45" s="5">
        <v>8000</v>
      </c>
      <c r="BO45" s="66">
        <v>819360</v>
      </c>
      <c r="BP45" s="204" t="s">
        <v>322</v>
      </c>
      <c r="BQ45" s="204">
        <f>BO45/BN45</f>
        <v>102.42</v>
      </c>
      <c r="BR45" s="5">
        <f>BN45*0.1</f>
        <v>800</v>
      </c>
      <c r="BS45" s="66">
        <f>BR45*21036</f>
        <v>16828800</v>
      </c>
      <c r="BT45" s="204" t="s">
        <v>342</v>
      </c>
      <c r="BU45" s="8">
        <f t="shared" si="23"/>
        <v>102300</v>
      </c>
      <c r="BV45" s="263">
        <f>N45-(X45+AE45+BN45+AI45+AL45+AP45+AS45+AW45+AZ45+BD45+BR45+AB45)</f>
        <v>0</v>
      </c>
      <c r="BW45" s="237"/>
      <c r="BX45" s="139" t="s">
        <v>395</v>
      </c>
      <c r="BY45" s="139"/>
      <c r="BZ45" s="29">
        <f>N45-X45-AE45-BN45-AL45-AS45-AZ45</f>
        <v>9300</v>
      </c>
      <c r="CA45" s="30">
        <f>V45-Y45-AF45-BO45-AM45-AT45-BA45</f>
        <v>3368345</v>
      </c>
      <c r="CB45" s="144">
        <f>Y45+AF45+AM45+AT45</f>
        <v>7625600</v>
      </c>
      <c r="CC45" s="31" t="s">
        <v>290</v>
      </c>
    </row>
    <row r="46" spans="1:81" s="13" customFormat="1" ht="49.5" customHeight="1" x14ac:dyDescent="0.2">
      <c r="A46" s="16" t="s">
        <v>345</v>
      </c>
      <c r="B46" s="22" t="s">
        <v>225</v>
      </c>
      <c r="C46" s="22" t="s">
        <v>116</v>
      </c>
      <c r="D46" s="33" t="s">
        <v>117</v>
      </c>
      <c r="E46" s="33"/>
      <c r="F46" s="33"/>
      <c r="G46" s="22" t="s">
        <v>171</v>
      </c>
      <c r="H46" s="22"/>
      <c r="I46" s="35" t="s">
        <v>177</v>
      </c>
      <c r="J46" s="36"/>
      <c r="K46" s="92">
        <f>L46-J46</f>
        <v>17600</v>
      </c>
      <c r="L46" s="92">
        <v>17600</v>
      </c>
      <c r="M46" s="96"/>
      <c r="N46" s="96"/>
      <c r="O46" s="92">
        <f>P46-L46</f>
        <v>20790</v>
      </c>
      <c r="P46" s="92">
        <v>38390</v>
      </c>
      <c r="Q46" s="105"/>
      <c r="R46" s="105"/>
      <c r="S46" s="100"/>
      <c r="T46" s="100"/>
      <c r="U46" s="184">
        <f t="shared" si="6"/>
        <v>38390</v>
      </c>
      <c r="V46" s="36"/>
      <c r="W46" s="44">
        <f>V46/L46</f>
        <v>0</v>
      </c>
      <c r="X46" s="37">
        <f>L46*0.4/1.1</f>
        <v>6399.9999999999991</v>
      </c>
      <c r="Y46" s="38">
        <v>525568</v>
      </c>
      <c r="Z46" s="60" t="s">
        <v>196</v>
      </c>
      <c r="AA46" s="37">
        <f>Y46/X46</f>
        <v>82.120000000000019</v>
      </c>
      <c r="AB46" s="37">
        <f>X46*0.1</f>
        <v>640</v>
      </c>
      <c r="AC46" s="38">
        <f>AB46*20828</f>
        <v>13329920</v>
      </c>
      <c r="AD46" s="59" t="s">
        <v>208</v>
      </c>
      <c r="AE46" s="39">
        <v>6400</v>
      </c>
      <c r="AF46" s="40">
        <v>647552</v>
      </c>
      <c r="AG46" s="67" t="s">
        <v>250</v>
      </c>
      <c r="AH46" s="10">
        <f>AF46/AE46</f>
        <v>101.18</v>
      </c>
      <c r="AI46" s="39">
        <f t="shared" si="26"/>
        <v>640</v>
      </c>
      <c r="AJ46" s="40">
        <f>AI46*20828</f>
        <v>13329920</v>
      </c>
      <c r="AK46" s="101" t="s">
        <v>259</v>
      </c>
      <c r="AL46" s="64">
        <v>19200</v>
      </c>
      <c r="AM46" s="65">
        <v>1883136</v>
      </c>
      <c r="AN46" s="65" t="s">
        <v>305</v>
      </c>
      <c r="AO46" s="64">
        <f t="shared" si="39"/>
        <v>98.08</v>
      </c>
      <c r="AP46" s="64">
        <f t="shared" si="40"/>
        <v>1920</v>
      </c>
      <c r="AQ46" s="65">
        <f>AP46*21036</f>
        <v>40389120</v>
      </c>
      <c r="AR46" s="142" t="s">
        <v>311</v>
      </c>
      <c r="AS46" s="37"/>
      <c r="AT46" s="38"/>
      <c r="AU46" s="38"/>
      <c r="AV46" s="37"/>
      <c r="AW46" s="37"/>
      <c r="AX46" s="38"/>
      <c r="AY46" s="38"/>
      <c r="AZ46" s="85"/>
      <c r="BA46" s="86"/>
      <c r="BB46" s="86"/>
      <c r="BC46" s="85"/>
      <c r="BD46" s="85"/>
      <c r="BE46" s="86"/>
      <c r="BF46" s="86"/>
      <c r="BG46" s="282"/>
      <c r="BH46" s="282"/>
      <c r="BI46" s="282"/>
      <c r="BJ46" s="282"/>
      <c r="BK46" s="282"/>
      <c r="BL46" s="282"/>
      <c r="BM46" s="282"/>
      <c r="BN46" s="41">
        <f>3190/1.1</f>
        <v>2899.9999999999995</v>
      </c>
      <c r="BO46" s="127">
        <v>297018</v>
      </c>
      <c r="BP46" s="41" t="s">
        <v>337</v>
      </c>
      <c r="BQ46" s="41">
        <f>BO46/BN46</f>
        <v>102.42000000000002</v>
      </c>
      <c r="BR46" s="41">
        <f>BN46*0.1</f>
        <v>289.99999999999994</v>
      </c>
      <c r="BS46" s="127">
        <f>BR46*21036</f>
        <v>6100439.9999999991</v>
      </c>
      <c r="BT46" s="41" t="s">
        <v>347</v>
      </c>
      <c r="BU46" s="8">
        <f t="shared" si="23"/>
        <v>38390</v>
      </c>
      <c r="BV46" s="263">
        <f>P46-(X46+AE46+BN46+AI46+AL46+AP46+AS46+AW46+AZ46+BD46+BR46+AB46)</f>
        <v>0</v>
      </c>
      <c r="BW46" s="237"/>
      <c r="BX46" s="139" t="s">
        <v>395</v>
      </c>
      <c r="BY46" s="139"/>
      <c r="BZ46" s="29">
        <f t="shared" ref="BZ46:BZ53" si="41">L46-X46-AE46-BN46-AL46-AS46-AZ46</f>
        <v>-17300</v>
      </c>
      <c r="CA46" s="30">
        <f>V46-Y46-AF46-BO46-AM46-AT46-BA46</f>
        <v>-3353274</v>
      </c>
      <c r="CB46" s="144">
        <f>Y46+AF46+AM46+AT46</f>
        <v>3056256</v>
      </c>
      <c r="CC46" s="12" t="s">
        <v>287</v>
      </c>
    </row>
    <row r="47" spans="1:81" s="13" customFormat="1" ht="49.5" customHeight="1" x14ac:dyDescent="0.2">
      <c r="A47" s="16">
        <v>18</v>
      </c>
      <c r="B47" s="22" t="s">
        <v>173</v>
      </c>
      <c r="C47" s="16" t="s">
        <v>1</v>
      </c>
      <c r="D47" s="17" t="s">
        <v>2</v>
      </c>
      <c r="E47" s="33"/>
      <c r="F47" s="33"/>
      <c r="G47" s="22" t="s">
        <v>149</v>
      </c>
      <c r="H47" s="22"/>
      <c r="I47" s="35" t="s">
        <v>152</v>
      </c>
      <c r="J47" s="36">
        <v>66000</v>
      </c>
      <c r="K47" s="38">
        <f>L47-J47</f>
        <v>61600</v>
      </c>
      <c r="L47" s="38">
        <v>127600</v>
      </c>
      <c r="M47" s="96"/>
      <c r="N47" s="96"/>
      <c r="O47" s="100"/>
      <c r="P47" s="100"/>
      <c r="Q47" s="105"/>
      <c r="R47" s="105"/>
      <c r="S47" s="100"/>
      <c r="T47" s="100"/>
      <c r="U47" s="184">
        <f t="shared" si="6"/>
        <v>127600</v>
      </c>
      <c r="V47" s="36">
        <f>4716000*1.1</f>
        <v>5187600</v>
      </c>
      <c r="W47" s="44">
        <f t="shared" ref="W47:W52" si="42">V47/J47</f>
        <v>78.599999999999994</v>
      </c>
      <c r="X47" s="37">
        <f t="shared" ref="X47:X52" si="43">J47*0.4/1.1</f>
        <v>23999.999999999996</v>
      </c>
      <c r="Y47" s="38">
        <v>1862400</v>
      </c>
      <c r="Z47" s="54" t="s">
        <v>171</v>
      </c>
      <c r="AA47" s="37">
        <f t="shared" si="38"/>
        <v>77.600000000000009</v>
      </c>
      <c r="AB47" s="37">
        <f t="shared" si="31"/>
        <v>2399.9999999999995</v>
      </c>
      <c r="AC47" s="38">
        <v>49987200</v>
      </c>
      <c r="AD47" s="59" t="s">
        <v>186</v>
      </c>
      <c r="AE47" s="39">
        <v>24000</v>
      </c>
      <c r="AF47" s="40">
        <v>2350080</v>
      </c>
      <c r="AG47" s="67" t="s">
        <v>241</v>
      </c>
      <c r="AH47" s="39">
        <f>AF47/AE47</f>
        <v>97.92</v>
      </c>
      <c r="AI47" s="39">
        <f t="shared" si="26"/>
        <v>2400</v>
      </c>
      <c r="AJ47" s="40">
        <f>AI47*20828</f>
        <v>49987200</v>
      </c>
      <c r="AK47" s="40" t="s">
        <v>260</v>
      </c>
      <c r="AL47" s="64">
        <v>33000</v>
      </c>
      <c r="AM47" s="65">
        <v>3364020</v>
      </c>
      <c r="AN47" s="65" t="s">
        <v>350</v>
      </c>
      <c r="AO47" s="64">
        <f t="shared" si="39"/>
        <v>101.94</v>
      </c>
      <c r="AP47" s="64">
        <f t="shared" si="40"/>
        <v>3300</v>
      </c>
      <c r="AQ47" s="65">
        <f>AP47*21036</f>
        <v>69418800</v>
      </c>
      <c r="AR47" s="65" t="s">
        <v>359</v>
      </c>
      <c r="AS47" s="37"/>
      <c r="AT47" s="38"/>
      <c r="AU47" s="38"/>
      <c r="AV47" s="37"/>
      <c r="AW47" s="37"/>
      <c r="AX47" s="38"/>
      <c r="AY47" s="38"/>
      <c r="AZ47" s="85"/>
      <c r="BA47" s="86"/>
      <c r="BB47" s="86"/>
      <c r="BC47" s="85"/>
      <c r="BD47" s="85"/>
      <c r="BE47" s="86"/>
      <c r="BF47" s="86"/>
      <c r="BG47" s="282"/>
      <c r="BH47" s="282"/>
      <c r="BI47" s="282"/>
      <c r="BJ47" s="282"/>
      <c r="BK47" s="282"/>
      <c r="BL47" s="282"/>
      <c r="BM47" s="282"/>
      <c r="BN47" s="41"/>
      <c r="BO47" s="127"/>
      <c r="BP47" s="41"/>
      <c r="BQ47" s="41"/>
      <c r="BR47" s="41"/>
      <c r="BS47" s="127"/>
      <c r="BT47" s="41"/>
      <c r="BU47" s="8">
        <f t="shared" si="23"/>
        <v>89100</v>
      </c>
      <c r="BV47" s="263">
        <f>L47-(X47+AE47+BN47+AI47+AL47+AP47+AS47+AW47+AZ47+BD47+BR47+AB47)</f>
        <v>38500</v>
      </c>
      <c r="BW47" s="237" t="s">
        <v>362</v>
      </c>
      <c r="BX47" s="140" t="s">
        <v>357</v>
      </c>
      <c r="BY47" s="139" t="s">
        <v>320</v>
      </c>
      <c r="BZ47" s="29">
        <f t="shared" si="41"/>
        <v>46600</v>
      </c>
      <c r="CA47" s="30">
        <f t="shared" ref="CA47:CA53" si="44">V47/1.1-Y47-AF47-BO47-AM47-AT47-BA47</f>
        <v>-2860500</v>
      </c>
      <c r="CB47" s="42"/>
      <c r="CC47" s="12" t="s">
        <v>283</v>
      </c>
    </row>
    <row r="48" spans="1:81" s="72" customFormat="1" ht="50.25" customHeight="1" x14ac:dyDescent="0.2">
      <c r="A48" s="16">
        <v>19</v>
      </c>
      <c r="B48" s="16" t="s">
        <v>160</v>
      </c>
      <c r="C48" s="16" t="s">
        <v>1</v>
      </c>
      <c r="D48" s="17" t="s">
        <v>2</v>
      </c>
      <c r="E48" s="17"/>
      <c r="F48" s="17"/>
      <c r="G48" s="21">
        <v>40916</v>
      </c>
      <c r="H48" s="16"/>
      <c r="I48" s="18" t="s">
        <v>207</v>
      </c>
      <c r="J48" s="19">
        <v>34759</v>
      </c>
      <c r="K48" s="91">
        <v>9329</v>
      </c>
      <c r="L48" s="91">
        <f>J48+K48</f>
        <v>44088</v>
      </c>
      <c r="M48" s="38">
        <f>N48-L48</f>
        <v>15068</v>
      </c>
      <c r="N48" s="38">
        <v>59156</v>
      </c>
      <c r="O48" s="98"/>
      <c r="P48" s="98"/>
      <c r="Q48" s="103"/>
      <c r="R48" s="103"/>
      <c r="S48" s="98"/>
      <c r="T48" s="98"/>
      <c r="U48" s="184">
        <f t="shared" si="6"/>
        <v>59156</v>
      </c>
      <c r="V48" s="19">
        <f>1.1*2506116</f>
        <v>2756727.6</v>
      </c>
      <c r="W48" s="28">
        <f t="shared" si="42"/>
        <v>79.309749992807625</v>
      </c>
      <c r="X48" s="8">
        <f t="shared" si="43"/>
        <v>12639.636363636362</v>
      </c>
      <c r="Y48" s="9">
        <v>993476</v>
      </c>
      <c r="Z48" s="53" t="s">
        <v>162</v>
      </c>
      <c r="AA48" s="8">
        <f>Y48/X48</f>
        <v>78.600046031243721</v>
      </c>
      <c r="AB48" s="8">
        <f t="shared" si="31"/>
        <v>1263.9636363636364</v>
      </c>
      <c r="AC48" s="9">
        <f t="shared" ref="AC48" si="45">AB48*20828</f>
        <v>26325834.618181817</v>
      </c>
      <c r="AD48" s="57" t="s">
        <v>186</v>
      </c>
      <c r="AE48" s="10">
        <v>12640</v>
      </c>
      <c r="AF48" s="20">
        <v>1151977</v>
      </c>
      <c r="AG48" s="58" t="s">
        <v>218</v>
      </c>
      <c r="AH48" s="10">
        <f t="shared" ref="AH48" si="46">AF48/AE48</f>
        <v>91.137420886075944</v>
      </c>
      <c r="AI48" s="10">
        <f t="shared" si="26"/>
        <v>1264</v>
      </c>
      <c r="AJ48" s="20">
        <f>AI48*20828</f>
        <v>26326592</v>
      </c>
      <c r="AK48" s="58" t="s">
        <v>229</v>
      </c>
      <c r="AL48" s="61">
        <v>20831.82</v>
      </c>
      <c r="AM48" s="62">
        <v>2142761</v>
      </c>
      <c r="AN48" s="62" t="s">
        <v>346</v>
      </c>
      <c r="AO48" s="61">
        <f t="shared" si="39"/>
        <v>102.85999975038187</v>
      </c>
      <c r="AP48" s="64">
        <f t="shared" si="40"/>
        <v>2083.1820000000002</v>
      </c>
      <c r="AQ48" s="62">
        <f>AP48*21036</f>
        <v>43821816.552000009</v>
      </c>
      <c r="AR48" s="62" t="s">
        <v>360</v>
      </c>
      <c r="AS48" s="81"/>
      <c r="AT48" s="82"/>
      <c r="AU48" s="82"/>
      <c r="AV48" s="81"/>
      <c r="AW48" s="81"/>
      <c r="AX48" s="82"/>
      <c r="AY48" s="82"/>
      <c r="AZ48" s="88"/>
      <c r="BA48" s="89"/>
      <c r="BB48" s="89"/>
      <c r="BC48" s="88"/>
      <c r="BD48" s="88"/>
      <c r="BE48" s="89"/>
      <c r="BF48" s="89"/>
      <c r="BG48" s="284"/>
      <c r="BH48" s="284"/>
      <c r="BI48" s="284"/>
      <c r="BJ48" s="284"/>
      <c r="BK48" s="284"/>
      <c r="BL48" s="284"/>
      <c r="BM48" s="284"/>
      <c r="BN48" s="70"/>
      <c r="BO48" s="153"/>
      <c r="BP48" s="70"/>
      <c r="BQ48" s="70"/>
      <c r="BR48" s="70"/>
      <c r="BS48" s="153"/>
      <c r="BT48" s="70"/>
      <c r="BU48" s="8">
        <f t="shared" si="23"/>
        <v>50722.601999999999</v>
      </c>
      <c r="BV48" s="263">
        <f>N48-(X48+AE48+BN48+AI48+AL48+AP48+AS48+AW48+AZ48+BD48+BR48+AB48)</f>
        <v>8433.398000000001</v>
      </c>
      <c r="BW48" s="246" t="s">
        <v>364</v>
      </c>
      <c r="BX48" s="140" t="s">
        <v>358</v>
      </c>
      <c r="BY48" s="139" t="s">
        <v>320</v>
      </c>
      <c r="BZ48" s="29">
        <f t="shared" si="41"/>
        <v>-2023.45636363636</v>
      </c>
      <c r="CA48" s="30">
        <f t="shared" si="44"/>
        <v>-1782098</v>
      </c>
      <c r="CB48" s="71"/>
      <c r="CC48" s="12" t="s">
        <v>284</v>
      </c>
    </row>
    <row r="49" spans="1:81" s="13" customFormat="1" ht="49.5" customHeight="1" x14ac:dyDescent="0.2">
      <c r="A49" s="16">
        <v>20</v>
      </c>
      <c r="B49" s="16" t="s">
        <v>102</v>
      </c>
      <c r="C49" s="16" t="s">
        <v>10</v>
      </c>
      <c r="D49" s="17" t="s">
        <v>14</v>
      </c>
      <c r="E49" s="17"/>
      <c r="F49" s="17"/>
      <c r="G49" s="16" t="s">
        <v>56</v>
      </c>
      <c r="H49" s="16" t="s">
        <v>57</v>
      </c>
      <c r="I49" s="18" t="s">
        <v>216</v>
      </c>
      <c r="J49" s="19">
        <v>107800</v>
      </c>
      <c r="K49" s="91"/>
      <c r="L49" s="91"/>
      <c r="M49" s="94">
        <f>N49-J49</f>
        <v>-18700</v>
      </c>
      <c r="N49" s="94">
        <v>89100</v>
      </c>
      <c r="O49" s="98"/>
      <c r="P49" s="98"/>
      <c r="Q49" s="103"/>
      <c r="R49" s="103"/>
      <c r="S49" s="98"/>
      <c r="T49" s="98"/>
      <c r="U49" s="184">
        <f t="shared" si="6"/>
        <v>89100</v>
      </c>
      <c r="V49" s="19">
        <f>1.1*7956620</f>
        <v>8752282</v>
      </c>
      <c r="W49" s="28">
        <f t="shared" si="42"/>
        <v>81.19</v>
      </c>
      <c r="X49" s="8">
        <f t="shared" si="43"/>
        <v>39200</v>
      </c>
      <c r="Y49" s="9">
        <f>(3093664)</f>
        <v>3093664</v>
      </c>
      <c r="Z49" s="53" t="s">
        <v>144</v>
      </c>
      <c r="AA49" s="8">
        <f>Y49/X49</f>
        <v>78.92</v>
      </c>
      <c r="AB49" s="8">
        <f>X49*0.1</f>
        <v>3920</v>
      </c>
      <c r="AC49" s="9">
        <f>81986800</f>
        <v>81986800</v>
      </c>
      <c r="AD49" s="9" t="s">
        <v>140</v>
      </c>
      <c r="AE49" s="10">
        <f>21560/1.1</f>
        <v>19600</v>
      </c>
      <c r="AF49" s="20">
        <v>1532132</v>
      </c>
      <c r="AG49" s="20" t="s">
        <v>122</v>
      </c>
      <c r="AH49" s="10">
        <f>AF49/AE49</f>
        <v>78.17</v>
      </c>
      <c r="AI49" s="10">
        <v>1960</v>
      </c>
      <c r="AJ49" s="20">
        <v>40856200</v>
      </c>
      <c r="AK49" s="58" t="s">
        <v>166</v>
      </c>
      <c r="AL49" s="61">
        <v>19600</v>
      </c>
      <c r="AM49" s="62">
        <v>1561336</v>
      </c>
      <c r="AN49" s="63" t="s">
        <v>183</v>
      </c>
      <c r="AO49" s="61">
        <f t="shared" si="39"/>
        <v>79.66</v>
      </c>
      <c r="AP49" s="61">
        <f t="shared" si="40"/>
        <v>1960</v>
      </c>
      <c r="AQ49" s="62">
        <v>40822880</v>
      </c>
      <c r="AR49" s="63" t="s">
        <v>197</v>
      </c>
      <c r="AS49" s="8">
        <f>2860/1.1</f>
        <v>2600</v>
      </c>
      <c r="AT49" s="9">
        <v>255736</v>
      </c>
      <c r="AU49" s="148" t="s">
        <v>308</v>
      </c>
      <c r="AV49" s="8">
        <f>AT49/AS49</f>
        <v>98.36</v>
      </c>
      <c r="AW49" s="8">
        <f>AS49*0.1</f>
        <v>260</v>
      </c>
      <c r="AX49" s="9">
        <f>AW49*21036</f>
        <v>5469360</v>
      </c>
      <c r="AY49" s="57" t="s">
        <v>315</v>
      </c>
      <c r="AZ49" s="83"/>
      <c r="BA49" s="84"/>
      <c r="BB49" s="87"/>
      <c r="BC49" s="83"/>
      <c r="BD49" s="83"/>
      <c r="BE49" s="84"/>
      <c r="BF49" s="87"/>
      <c r="BG49" s="285"/>
      <c r="BH49" s="285"/>
      <c r="BI49" s="285"/>
      <c r="BJ49" s="285"/>
      <c r="BK49" s="285"/>
      <c r="BL49" s="285"/>
      <c r="BM49" s="285"/>
      <c r="BN49" s="11"/>
      <c r="BO49" s="79"/>
      <c r="BP49" s="11"/>
      <c r="BQ49" s="11"/>
      <c r="BR49" s="11"/>
      <c r="BS49" s="79"/>
      <c r="BT49" s="11"/>
      <c r="BU49" s="8">
        <f t="shared" si="23"/>
        <v>89100</v>
      </c>
      <c r="BV49" s="263">
        <f>N49-(X49+AE49+BN49+AI49+AL49+AP49+AS49+AW49+AZ49+BD49+BR49+AB49)</f>
        <v>0</v>
      </c>
      <c r="BW49" s="237"/>
      <c r="BX49" s="139" t="s">
        <v>395</v>
      </c>
      <c r="BY49" s="139"/>
      <c r="BZ49" s="29">
        <f t="shared" si="41"/>
        <v>-81000</v>
      </c>
      <c r="CA49" s="30">
        <f t="shared" si="44"/>
        <v>1513751.9999999991</v>
      </c>
      <c r="CB49" s="7"/>
      <c r="CC49" s="31" t="s">
        <v>271</v>
      </c>
    </row>
    <row r="50" spans="1:81" s="13" customFormat="1" ht="49.5" customHeight="1" x14ac:dyDescent="0.2">
      <c r="A50" s="16">
        <v>21</v>
      </c>
      <c r="B50" s="22" t="s">
        <v>108</v>
      </c>
      <c r="C50" s="22" t="s">
        <v>285</v>
      </c>
      <c r="D50" s="17" t="s">
        <v>84</v>
      </c>
      <c r="E50" s="33"/>
      <c r="F50" s="33"/>
      <c r="G50" s="34" t="s">
        <v>85</v>
      </c>
      <c r="H50" s="22" t="s">
        <v>86</v>
      </c>
      <c r="I50" s="35" t="s">
        <v>87</v>
      </c>
      <c r="J50" s="36">
        <v>123191</v>
      </c>
      <c r="K50" s="38">
        <f>L50-J50</f>
        <v>-29118.199999999997</v>
      </c>
      <c r="L50" s="38">
        <v>94072.8</v>
      </c>
      <c r="M50" s="96"/>
      <c r="N50" s="96"/>
      <c r="O50" s="100"/>
      <c r="P50" s="100"/>
      <c r="Q50" s="105"/>
      <c r="R50" s="105"/>
      <c r="S50" s="100"/>
      <c r="T50" s="100"/>
      <c r="U50" s="184">
        <f t="shared" si="6"/>
        <v>94072.8</v>
      </c>
      <c r="V50" s="36">
        <v>9770277</v>
      </c>
      <c r="W50" s="28">
        <f t="shared" si="42"/>
        <v>79.309990177853905</v>
      </c>
      <c r="X50" s="37">
        <f t="shared" si="43"/>
        <v>44796.727272727272</v>
      </c>
      <c r="Y50" s="38">
        <v>3501731</v>
      </c>
      <c r="Z50" s="54" t="s">
        <v>146</v>
      </c>
      <c r="AA50" s="8">
        <f>Y50/X50</f>
        <v>78.169348816066105</v>
      </c>
      <c r="AB50" s="37">
        <f t="shared" ref="AB50:AB51" si="47">X50*0.1</f>
        <v>4479.6727272727276</v>
      </c>
      <c r="AC50" s="38">
        <v>93302624</v>
      </c>
      <c r="AD50" s="59" t="s">
        <v>166</v>
      </c>
      <c r="AE50" s="39">
        <v>44796.36</v>
      </c>
      <c r="AF50" s="40"/>
      <c r="AG50" s="67" t="s">
        <v>199</v>
      </c>
      <c r="AH50" s="10"/>
      <c r="AI50" s="39"/>
      <c r="AJ50" s="40"/>
      <c r="AK50" s="74" t="s">
        <v>222</v>
      </c>
      <c r="AL50" s="64"/>
      <c r="AM50" s="65"/>
      <c r="AN50" s="65"/>
      <c r="AO50" s="61"/>
      <c r="AP50" s="64"/>
      <c r="AQ50" s="65"/>
      <c r="AR50" s="65"/>
      <c r="AS50" s="37"/>
      <c r="AT50" s="38"/>
      <c r="AU50" s="38"/>
      <c r="AV50" s="8"/>
      <c r="AW50" s="37"/>
      <c r="AX50" s="38"/>
      <c r="AY50" s="38"/>
      <c r="AZ50" s="85"/>
      <c r="BA50" s="86"/>
      <c r="BB50" s="86"/>
      <c r="BC50" s="83"/>
      <c r="BD50" s="85"/>
      <c r="BE50" s="86"/>
      <c r="BF50" s="86"/>
      <c r="BG50" s="282"/>
      <c r="BH50" s="282"/>
      <c r="BI50" s="282"/>
      <c r="BJ50" s="282"/>
      <c r="BK50" s="282"/>
      <c r="BL50" s="282"/>
      <c r="BM50" s="282"/>
      <c r="BN50" s="41"/>
      <c r="BO50" s="127"/>
      <c r="BP50" s="41"/>
      <c r="BQ50" s="41"/>
      <c r="BR50" s="41"/>
      <c r="BS50" s="127"/>
      <c r="BT50" s="41"/>
      <c r="BU50" s="8">
        <f t="shared" si="23"/>
        <v>94072.760000000009</v>
      </c>
      <c r="BV50" s="264">
        <f>L50-BU50</f>
        <v>3.9999999993597157E-2</v>
      </c>
      <c r="BW50" s="238"/>
      <c r="BX50" s="139" t="s">
        <v>395</v>
      </c>
      <c r="BY50" s="139"/>
      <c r="BZ50" s="29">
        <f t="shared" si="41"/>
        <v>4479.7127272727303</v>
      </c>
      <c r="CA50" s="30">
        <f t="shared" si="44"/>
        <v>5380339</v>
      </c>
      <c r="CB50" s="43" t="s">
        <v>111</v>
      </c>
      <c r="CC50" s="31" t="s">
        <v>286</v>
      </c>
    </row>
    <row r="51" spans="1:81" s="13" customFormat="1" ht="50.25" customHeight="1" x14ac:dyDescent="0.2">
      <c r="A51" s="16">
        <v>22</v>
      </c>
      <c r="B51" s="16" t="s">
        <v>159</v>
      </c>
      <c r="C51" s="16" t="s">
        <v>1</v>
      </c>
      <c r="D51" s="17" t="s">
        <v>2</v>
      </c>
      <c r="E51" s="17"/>
      <c r="F51" s="17"/>
      <c r="G51" s="21">
        <v>40916</v>
      </c>
      <c r="H51" s="16"/>
      <c r="I51" s="18" t="s">
        <v>206</v>
      </c>
      <c r="J51" s="19">
        <v>33349</v>
      </c>
      <c r="K51" s="91">
        <f>L51-J51</f>
        <v>-2271</v>
      </c>
      <c r="L51" s="91">
        <v>31078</v>
      </c>
      <c r="M51" s="94"/>
      <c r="N51" s="94"/>
      <c r="O51" s="98"/>
      <c r="P51" s="98"/>
      <c r="Q51" s="103"/>
      <c r="R51" s="103"/>
      <c r="S51" s="98"/>
      <c r="T51" s="98"/>
      <c r="U51" s="184">
        <f t="shared" si="6"/>
        <v>31078</v>
      </c>
      <c r="V51" s="19">
        <f>1.1*2404441</f>
        <v>2644885.1</v>
      </c>
      <c r="W51" s="28">
        <f t="shared" si="42"/>
        <v>79.309277639509432</v>
      </c>
      <c r="X51" s="8">
        <f t="shared" si="43"/>
        <v>12126.90909090909</v>
      </c>
      <c r="Y51" s="9">
        <v>953175</v>
      </c>
      <c r="Z51" s="53" t="s">
        <v>162</v>
      </c>
      <c r="AA51" s="8">
        <f t="shared" ref="AA51" si="48">Y51/X51</f>
        <v>78.599995502114012</v>
      </c>
      <c r="AB51" s="8">
        <f t="shared" si="47"/>
        <v>1212.6909090909091</v>
      </c>
      <c r="AC51" s="9">
        <f>AB51*20828</f>
        <v>25257926.254545454</v>
      </c>
      <c r="AD51" s="57" t="s">
        <v>186</v>
      </c>
      <c r="AE51" s="10">
        <v>12127.27</v>
      </c>
      <c r="AF51" s="20">
        <v>1105247</v>
      </c>
      <c r="AG51" s="58" t="s">
        <v>218</v>
      </c>
      <c r="AH51" s="10">
        <f t="shared" ref="AH51:AH52" si="49">AF51/AE51</f>
        <v>91.13732934122848</v>
      </c>
      <c r="AI51" s="10">
        <f>AE51*0.1</f>
        <v>1212.7270000000001</v>
      </c>
      <c r="AJ51" s="20">
        <f>AI51*20828</f>
        <v>25258677.956</v>
      </c>
      <c r="AK51" s="58" t="s">
        <v>229</v>
      </c>
      <c r="AL51" s="61"/>
      <c r="AM51" s="62"/>
      <c r="AN51" s="62"/>
      <c r="AO51" s="61"/>
      <c r="AP51" s="61"/>
      <c r="AQ51" s="62"/>
      <c r="AR51" s="62"/>
      <c r="AS51" s="8"/>
      <c r="AT51" s="9"/>
      <c r="AU51" s="9"/>
      <c r="AV51" s="8"/>
      <c r="AW51" s="8"/>
      <c r="AX51" s="9"/>
      <c r="AY51" s="9"/>
      <c r="AZ51" s="83"/>
      <c r="BA51" s="84"/>
      <c r="BB51" s="84"/>
      <c r="BC51" s="83"/>
      <c r="BD51" s="83"/>
      <c r="BE51" s="84"/>
      <c r="BF51" s="84"/>
      <c r="BG51" s="281"/>
      <c r="BH51" s="281"/>
      <c r="BI51" s="281"/>
      <c r="BJ51" s="281"/>
      <c r="BK51" s="281"/>
      <c r="BL51" s="281"/>
      <c r="BM51" s="281"/>
      <c r="BN51" s="152">
        <v>3998.55</v>
      </c>
      <c r="BO51" s="154"/>
      <c r="BP51" s="152">
        <v>42128</v>
      </c>
      <c r="BQ51" s="152"/>
      <c r="BR51" s="152">
        <f>BN51*0.1</f>
        <v>399.85500000000002</v>
      </c>
      <c r="BS51" s="154"/>
      <c r="BT51" s="41" t="s">
        <v>405</v>
      </c>
      <c r="BU51" s="8">
        <f t="shared" si="23"/>
        <v>31078.001999999997</v>
      </c>
      <c r="BV51" s="134">
        <f>L51-(X51+AE51+BN51+AI51+AL51+AP51+AS51+AW51+AZ51+BD51+BR51+AB51)</f>
        <v>-2.0000000004074536E-3</v>
      </c>
      <c r="BW51" s="237" t="s">
        <v>365</v>
      </c>
      <c r="BX51" s="139" t="s">
        <v>303</v>
      </c>
      <c r="BY51" s="139" t="s">
        <v>320</v>
      </c>
      <c r="BZ51" s="29">
        <f t="shared" si="41"/>
        <v>2825.2709090909111</v>
      </c>
      <c r="CA51" s="30">
        <f t="shared" si="44"/>
        <v>346019</v>
      </c>
      <c r="CB51" s="7"/>
      <c r="CC51" s="31" t="s">
        <v>271</v>
      </c>
    </row>
    <row r="52" spans="1:81" s="121" customFormat="1" ht="49.5" customHeight="1" x14ac:dyDescent="0.2">
      <c r="A52" s="114">
        <v>23</v>
      </c>
      <c r="B52" s="123" t="s">
        <v>228</v>
      </c>
      <c r="C52" s="123" t="s">
        <v>83</v>
      </c>
      <c r="D52" s="115" t="s">
        <v>58</v>
      </c>
      <c r="E52" s="124"/>
      <c r="F52" s="124"/>
      <c r="G52" s="125" t="s">
        <v>214</v>
      </c>
      <c r="H52" s="123"/>
      <c r="I52" s="126" t="s">
        <v>221</v>
      </c>
      <c r="J52" s="127">
        <v>14800</v>
      </c>
      <c r="K52" s="127">
        <f>L52-J52</f>
        <v>-3011</v>
      </c>
      <c r="L52" s="127">
        <v>11789</v>
      </c>
      <c r="M52" s="127"/>
      <c r="N52" s="127"/>
      <c r="O52" s="127"/>
      <c r="P52" s="127"/>
      <c r="Q52" s="127"/>
      <c r="R52" s="127"/>
      <c r="S52" s="127"/>
      <c r="T52" s="127"/>
      <c r="U52" s="184">
        <f t="shared" si="6"/>
        <v>11789</v>
      </c>
      <c r="V52" s="127">
        <f>1244722*1.1</f>
        <v>1369194.2000000002</v>
      </c>
      <c r="W52" s="41">
        <f t="shared" si="42"/>
        <v>92.513121621621636</v>
      </c>
      <c r="X52" s="41">
        <f t="shared" si="43"/>
        <v>5381.8181818181811</v>
      </c>
      <c r="Y52" s="127">
        <v>497872</v>
      </c>
      <c r="Z52" s="128" t="s">
        <v>227</v>
      </c>
      <c r="AA52" s="11">
        <f>Y52/X52</f>
        <v>92.510000000000019</v>
      </c>
      <c r="AB52" s="41">
        <f>X52*0.1</f>
        <v>538.18181818181813</v>
      </c>
      <c r="AC52" s="127">
        <f>AB52*20828</f>
        <v>11209250.909090908</v>
      </c>
      <c r="AD52" s="129" t="s">
        <v>229</v>
      </c>
      <c r="AE52" s="5">
        <v>5335</v>
      </c>
      <c r="AF52" s="66">
        <v>525978</v>
      </c>
      <c r="AG52" s="66" t="s">
        <v>261</v>
      </c>
      <c r="AH52" s="5">
        <f t="shared" si="49"/>
        <v>98.590065604498591</v>
      </c>
      <c r="AI52" s="5">
        <f>AE52*0.1</f>
        <v>533.5</v>
      </c>
      <c r="AJ52" s="66">
        <v>11223662</v>
      </c>
      <c r="AK52" s="66" t="s">
        <v>306</v>
      </c>
      <c r="AL52" s="41"/>
      <c r="AM52" s="127"/>
      <c r="AN52" s="127"/>
      <c r="AO52" s="41"/>
      <c r="AP52" s="41"/>
      <c r="AQ52" s="127"/>
      <c r="AR52" s="127"/>
      <c r="AS52" s="41"/>
      <c r="AT52" s="127"/>
      <c r="AU52" s="127"/>
      <c r="AV52" s="41"/>
      <c r="AW52" s="41"/>
      <c r="AX52" s="127"/>
      <c r="AY52" s="127"/>
      <c r="AZ52" s="41"/>
      <c r="BA52" s="127"/>
      <c r="BB52" s="127"/>
      <c r="BC52" s="41"/>
      <c r="BD52" s="41"/>
      <c r="BE52" s="127"/>
      <c r="BF52" s="127"/>
      <c r="BG52" s="282"/>
      <c r="BH52" s="282"/>
      <c r="BI52" s="282"/>
      <c r="BJ52" s="282"/>
      <c r="BK52" s="282"/>
      <c r="BL52" s="282"/>
      <c r="BM52" s="282"/>
      <c r="BN52" s="11"/>
      <c r="BO52" s="79"/>
      <c r="BP52" s="11"/>
      <c r="BQ52" s="11"/>
      <c r="BR52" s="11"/>
      <c r="BS52" s="79"/>
      <c r="BT52" s="11"/>
      <c r="BU52" s="8">
        <f t="shared" si="23"/>
        <v>11788.5</v>
      </c>
      <c r="BV52" s="263">
        <f>L52-(X52+AE52+BN52+AI52+AL52+AP52+AS52+AW52+AZ52+BD52+BR52+AB52)-0.5</f>
        <v>1.8189894035458565E-12</v>
      </c>
      <c r="BW52" s="237"/>
      <c r="BX52" s="139" t="s">
        <v>395</v>
      </c>
      <c r="BY52" s="139"/>
      <c r="BZ52" s="29">
        <f t="shared" si="41"/>
        <v>1072.1818181818189</v>
      </c>
      <c r="CA52" s="119">
        <f t="shared" si="44"/>
        <v>220872</v>
      </c>
      <c r="CB52" s="124"/>
      <c r="CC52" s="116" t="s">
        <v>288</v>
      </c>
    </row>
    <row r="53" spans="1:81" s="13" customFormat="1" ht="21" customHeight="1" x14ac:dyDescent="0.2">
      <c r="A53" s="16"/>
      <c r="B53" s="22"/>
      <c r="C53" s="22"/>
      <c r="D53" s="17"/>
      <c r="E53" s="33"/>
      <c r="F53" s="33"/>
      <c r="G53" s="22"/>
      <c r="H53" s="22"/>
      <c r="I53" s="35"/>
      <c r="J53" s="36"/>
      <c r="K53" s="92"/>
      <c r="L53" s="92"/>
      <c r="M53" s="96"/>
      <c r="N53" s="96"/>
      <c r="O53" s="100"/>
      <c r="P53" s="100"/>
      <c r="Q53" s="105"/>
      <c r="R53" s="105"/>
      <c r="S53" s="100"/>
      <c r="T53" s="100"/>
      <c r="U53" s="185"/>
      <c r="V53" s="36"/>
      <c r="W53" s="44"/>
      <c r="X53" s="37"/>
      <c r="Y53" s="38"/>
      <c r="Z53" s="59"/>
      <c r="AA53" s="37"/>
      <c r="AB53" s="37"/>
      <c r="AC53" s="38"/>
      <c r="AD53" s="59"/>
      <c r="AE53" s="39"/>
      <c r="AF53" s="40"/>
      <c r="AG53" s="40"/>
      <c r="AH53" s="39"/>
      <c r="AI53" s="39"/>
      <c r="AJ53" s="40"/>
      <c r="AK53" s="40"/>
      <c r="AL53" s="64"/>
      <c r="AM53" s="65"/>
      <c r="AN53" s="65"/>
      <c r="AO53" s="64"/>
      <c r="AP53" s="64"/>
      <c r="AQ53" s="65"/>
      <c r="AR53" s="65"/>
      <c r="AS53" s="37"/>
      <c r="AT53" s="38"/>
      <c r="AU53" s="38"/>
      <c r="AV53" s="37"/>
      <c r="AW53" s="37"/>
      <c r="AX53" s="38"/>
      <c r="AY53" s="38"/>
      <c r="AZ53" s="85"/>
      <c r="BA53" s="86"/>
      <c r="BB53" s="86"/>
      <c r="BC53" s="85"/>
      <c r="BD53" s="85"/>
      <c r="BE53" s="86"/>
      <c r="BF53" s="86"/>
      <c r="BG53" s="282"/>
      <c r="BH53" s="282"/>
      <c r="BI53" s="282"/>
      <c r="BJ53" s="282"/>
      <c r="BK53" s="282"/>
      <c r="BL53" s="282"/>
      <c r="BM53" s="282"/>
      <c r="BN53" s="41"/>
      <c r="BO53" s="127"/>
      <c r="BP53" s="41"/>
      <c r="BQ53" s="41"/>
      <c r="BR53" s="41"/>
      <c r="BS53" s="127"/>
      <c r="BT53" s="41"/>
      <c r="BU53" s="8">
        <f t="shared" si="23"/>
        <v>0</v>
      </c>
      <c r="BV53" s="263">
        <f>J53-(X53+AE53+BN53+AI53+AL53+AP53+AS53+AW53+AZ53+BD53+BR53+AB53)</f>
        <v>0</v>
      </c>
      <c r="BW53" s="237"/>
      <c r="BX53" s="139"/>
      <c r="BY53" s="139"/>
      <c r="BZ53" s="29">
        <f t="shared" si="41"/>
        <v>0</v>
      </c>
      <c r="CA53" s="30">
        <f t="shared" si="44"/>
        <v>0</v>
      </c>
      <c r="CB53" s="42"/>
      <c r="CC53" s="56"/>
    </row>
    <row r="54" spans="1:81" s="13" customFormat="1" ht="17.100000000000001" customHeight="1" x14ac:dyDescent="0.2">
      <c r="A54" s="356" t="s">
        <v>295</v>
      </c>
      <c r="B54" s="357"/>
      <c r="C54" s="357"/>
      <c r="D54" s="357"/>
      <c r="E54" s="357"/>
      <c r="F54" s="357"/>
      <c r="G54" s="357"/>
      <c r="H54" s="357"/>
      <c r="I54" s="358"/>
      <c r="J54" s="51">
        <f t="shared" ref="J54:BP54" si="50">SUM(J55:J62)</f>
        <v>876612</v>
      </c>
      <c r="K54" s="51">
        <f t="shared" si="50"/>
        <v>32780</v>
      </c>
      <c r="L54" s="51">
        <f t="shared" si="50"/>
        <v>568040</v>
      </c>
      <c r="M54" s="51">
        <f t="shared" si="50"/>
        <v>0</v>
      </c>
      <c r="N54" s="51">
        <f t="shared" si="50"/>
        <v>0</v>
      </c>
      <c r="O54" s="51">
        <f t="shared" si="50"/>
        <v>0</v>
      </c>
      <c r="P54" s="51">
        <f t="shared" si="50"/>
        <v>0</v>
      </c>
      <c r="Q54" s="51">
        <f t="shared" si="50"/>
        <v>0</v>
      </c>
      <c r="R54" s="51">
        <f t="shared" si="50"/>
        <v>0</v>
      </c>
      <c r="S54" s="51">
        <f t="shared" si="50"/>
        <v>0</v>
      </c>
      <c r="T54" s="51">
        <f>SUM(T55:T62)</f>
        <v>0</v>
      </c>
      <c r="U54" s="51">
        <f>SUM(U55:U62)</f>
        <v>909392</v>
      </c>
      <c r="V54" s="51">
        <f t="shared" si="50"/>
        <v>32473279.800000001</v>
      </c>
      <c r="W54" s="51">
        <f t="shared" si="50"/>
        <v>408.63592345010051</v>
      </c>
      <c r="X54" s="51">
        <f t="shared" si="50"/>
        <v>253333.36363636362</v>
      </c>
      <c r="Y54" s="51">
        <f t="shared" si="50"/>
        <v>13784872</v>
      </c>
      <c r="Z54" s="51">
        <f t="shared" si="50"/>
        <v>41132</v>
      </c>
      <c r="AA54" s="51">
        <f t="shared" si="50"/>
        <v>423.52868920571973</v>
      </c>
      <c r="AB54" s="51">
        <f t="shared" si="50"/>
        <v>16533.336363636365</v>
      </c>
      <c r="AC54" s="51">
        <f t="shared" si="50"/>
        <v>203597068.16363639</v>
      </c>
      <c r="AD54" s="51">
        <f t="shared" si="50"/>
        <v>0</v>
      </c>
      <c r="AE54" s="51">
        <f t="shared" si="50"/>
        <v>206957.17727272725</v>
      </c>
      <c r="AF54" s="51">
        <f t="shared" si="50"/>
        <v>12620290</v>
      </c>
      <c r="AG54" s="51">
        <f t="shared" si="50"/>
        <v>0</v>
      </c>
      <c r="AH54" s="51">
        <f t="shared" si="50"/>
        <v>509.16478122832422</v>
      </c>
      <c r="AI54" s="51">
        <f t="shared" si="50"/>
        <v>20695.717727272728</v>
      </c>
      <c r="AJ54" s="51">
        <f t="shared" si="50"/>
        <v>267560964.58563638</v>
      </c>
      <c r="AK54" s="51">
        <f t="shared" si="50"/>
        <v>0</v>
      </c>
      <c r="AL54" s="51">
        <f t="shared" si="50"/>
        <v>189229.45454545453</v>
      </c>
      <c r="AM54" s="51">
        <f t="shared" si="50"/>
        <v>9274467</v>
      </c>
      <c r="AN54" s="51">
        <f t="shared" si="50"/>
        <v>0</v>
      </c>
      <c r="AO54" s="51">
        <f t="shared" si="50"/>
        <v>410.03023362827184</v>
      </c>
      <c r="AP54" s="51">
        <f t="shared" si="50"/>
        <v>18922.945454545454</v>
      </c>
      <c r="AQ54" s="51">
        <f t="shared" si="50"/>
        <v>188316906.90909091</v>
      </c>
      <c r="AR54" s="51">
        <f t="shared" si="50"/>
        <v>0</v>
      </c>
      <c r="AS54" s="51">
        <f t="shared" si="50"/>
        <v>60000</v>
      </c>
      <c r="AT54" s="51">
        <f t="shared" si="50"/>
        <v>2057000</v>
      </c>
      <c r="AU54" s="51">
        <f t="shared" si="50"/>
        <v>0</v>
      </c>
      <c r="AV54" s="51">
        <f t="shared" si="50"/>
        <v>102.85</v>
      </c>
      <c r="AW54" s="51">
        <f t="shared" si="50"/>
        <v>6000</v>
      </c>
      <c r="AX54" s="51">
        <f t="shared" si="50"/>
        <v>42492000</v>
      </c>
      <c r="AY54" s="51">
        <f t="shared" si="50"/>
        <v>0</v>
      </c>
      <c r="AZ54" s="51">
        <f t="shared" si="50"/>
        <v>60000</v>
      </c>
      <c r="BA54" s="51">
        <f t="shared" si="50"/>
        <v>0</v>
      </c>
      <c r="BB54" s="51">
        <f t="shared" si="50"/>
        <v>0</v>
      </c>
      <c r="BC54" s="51">
        <f t="shared" si="50"/>
        <v>0</v>
      </c>
      <c r="BD54" s="51">
        <f t="shared" si="50"/>
        <v>6000</v>
      </c>
      <c r="BE54" s="51">
        <f t="shared" si="50"/>
        <v>0</v>
      </c>
      <c r="BF54" s="51">
        <f>SUM(BF55:BF62)</f>
        <v>0</v>
      </c>
      <c r="BG54" s="51">
        <f t="shared" ref="BG54:BM54" si="51">SUM(BG55:BG62)</f>
        <v>0</v>
      </c>
      <c r="BH54" s="51">
        <f t="shared" si="51"/>
        <v>0</v>
      </c>
      <c r="BI54" s="51">
        <f t="shared" si="51"/>
        <v>0</v>
      </c>
      <c r="BJ54" s="51">
        <f t="shared" si="51"/>
        <v>0</v>
      </c>
      <c r="BK54" s="51">
        <f t="shared" si="51"/>
        <v>0</v>
      </c>
      <c r="BL54" s="51">
        <f t="shared" si="51"/>
        <v>0</v>
      </c>
      <c r="BM54" s="51">
        <f t="shared" si="51"/>
        <v>0</v>
      </c>
      <c r="BN54" s="51">
        <f t="shared" si="50"/>
        <v>41600</v>
      </c>
      <c r="BO54" s="51">
        <f t="shared" si="50"/>
        <v>4229056</v>
      </c>
      <c r="BP54" s="51">
        <f t="shared" si="50"/>
        <v>0</v>
      </c>
      <c r="BQ54" s="51"/>
      <c r="BR54" s="51">
        <f>SUM(BR55:BR62)</f>
        <v>4160</v>
      </c>
      <c r="BS54" s="51">
        <f t="shared" ref="BS54:BU54" si="52">SUM(BS55:BS62)</f>
        <v>88383360</v>
      </c>
      <c r="BT54" s="51">
        <f t="shared" si="52"/>
        <v>0</v>
      </c>
      <c r="BU54" s="51">
        <f t="shared" si="52"/>
        <v>883431.995</v>
      </c>
      <c r="BV54" s="51">
        <f>SUM(BV55:BV62)</f>
        <v>25960.005000000005</v>
      </c>
      <c r="BW54" s="236"/>
      <c r="BX54" s="51">
        <f>SUM(BX55:BX62)</f>
        <v>0</v>
      </c>
      <c r="BY54" s="51"/>
      <c r="BZ54" s="51">
        <f>SUM(BZ55:BZ62)</f>
        <v>25409.094545454547</v>
      </c>
      <c r="CA54" s="51">
        <f>SUM(CA55:CA62)</f>
        <v>-6544170.0909090918</v>
      </c>
      <c r="CB54" s="51">
        <f>SUM(CB55:CB62)</f>
        <v>0</v>
      </c>
      <c r="CC54" s="51">
        <f>SUM(CC55:CC62)</f>
        <v>0</v>
      </c>
    </row>
    <row r="55" spans="1:81" s="13" customFormat="1" ht="29.25" customHeight="1" x14ac:dyDescent="0.2">
      <c r="A55" s="16">
        <v>1</v>
      </c>
      <c r="B55" s="16" t="s">
        <v>100</v>
      </c>
      <c r="C55" s="16" t="s">
        <v>332</v>
      </c>
      <c r="D55" s="17" t="s">
        <v>36</v>
      </c>
      <c r="E55" s="17"/>
      <c r="F55" s="17"/>
      <c r="G55" s="16" t="s">
        <v>37</v>
      </c>
      <c r="H55" s="16" t="s">
        <v>46</v>
      </c>
      <c r="I55" s="12" t="s">
        <v>38</v>
      </c>
      <c r="J55" s="19">
        <v>220000</v>
      </c>
      <c r="K55" s="91"/>
      <c r="L55" s="91"/>
      <c r="M55" s="94"/>
      <c r="N55" s="94"/>
      <c r="O55" s="98"/>
      <c r="P55" s="98"/>
      <c r="Q55" s="103"/>
      <c r="R55" s="103"/>
      <c r="S55" s="98"/>
      <c r="T55" s="98"/>
      <c r="U55" s="184">
        <f t="shared" ref="U55:U62" si="53">J55+K55+M55+O55+Q55+S55</f>
        <v>220000</v>
      </c>
      <c r="V55" s="19">
        <v>16136000</v>
      </c>
      <c r="W55" s="28">
        <f>V55/J55</f>
        <v>73.345454545454544</v>
      </c>
      <c r="X55" s="8">
        <f>J55*0.4</f>
        <v>88000</v>
      </c>
      <c r="Y55" s="9">
        <v>7144720</v>
      </c>
      <c r="Z55" s="53" t="s">
        <v>131</v>
      </c>
      <c r="AA55" s="8">
        <f>Y55/X55</f>
        <v>81.19</v>
      </c>
      <c r="AB55" s="8"/>
      <c r="AC55" s="9"/>
      <c r="AD55" s="9"/>
      <c r="AE55" s="3">
        <v>40000</v>
      </c>
      <c r="AF55" s="14">
        <v>3943600</v>
      </c>
      <c r="AG55" s="136" t="s">
        <v>263</v>
      </c>
      <c r="AH55" s="3">
        <f>AF55/AE55</f>
        <v>98.59</v>
      </c>
      <c r="AI55" s="3">
        <f t="shared" ref="AI55:AI60" si="54">AE55*0.1</f>
        <v>4000</v>
      </c>
      <c r="AJ55" s="14">
        <f>AI55*21036</f>
        <v>84144000</v>
      </c>
      <c r="AK55" s="14" t="s">
        <v>306</v>
      </c>
      <c r="AL55" s="61">
        <v>60000</v>
      </c>
      <c r="AM55" s="62">
        <v>6303000</v>
      </c>
      <c r="AN55" s="63" t="s">
        <v>343</v>
      </c>
      <c r="AO55" s="61">
        <f>AM55/AL55</f>
        <v>105.05</v>
      </c>
      <c r="AP55" s="61">
        <f>AL55*0.1</f>
        <v>6000</v>
      </c>
      <c r="AQ55" s="62">
        <f>AP55*21036</f>
        <v>126216000</v>
      </c>
      <c r="AR55" s="62" t="s">
        <v>347</v>
      </c>
      <c r="AS55" s="8">
        <v>20000</v>
      </c>
      <c r="AT55" s="9">
        <v>2057000</v>
      </c>
      <c r="AU55" s="57" t="s">
        <v>389</v>
      </c>
      <c r="AV55" s="8">
        <f>AT55/AS55</f>
        <v>102.85</v>
      </c>
      <c r="AW55" s="8">
        <f>AS55*0.1</f>
        <v>2000</v>
      </c>
      <c r="AX55" s="9">
        <f>AW55*21246</f>
        <v>42492000</v>
      </c>
      <c r="AY55" s="9" t="s">
        <v>390</v>
      </c>
      <c r="AZ55" s="83"/>
      <c r="BA55" s="84"/>
      <c r="BB55" s="84"/>
      <c r="BC55" s="83"/>
      <c r="BD55" s="83"/>
      <c r="BE55" s="84"/>
      <c r="BF55" s="84"/>
      <c r="BG55" s="281"/>
      <c r="BH55" s="281"/>
      <c r="BI55" s="281"/>
      <c r="BJ55" s="281"/>
      <c r="BK55" s="281"/>
      <c r="BL55" s="281"/>
      <c r="BM55" s="281"/>
      <c r="BN55" s="11"/>
      <c r="BO55" s="79"/>
      <c r="BP55" s="11"/>
      <c r="BQ55" s="11"/>
      <c r="BR55" s="11"/>
      <c r="BS55" s="79"/>
      <c r="BT55" s="11"/>
      <c r="BU55" s="8">
        <f t="shared" ref="BU55:BU63" si="55">X55+AB55+AE55+AI55+AL55+AP55+AS55+AW55+AZ55+BD55+BN55+BR55</f>
        <v>220000</v>
      </c>
      <c r="BV55" s="263">
        <f>J55-(X55+AE55+BN55+AI55+AL55+AP55+AS55+AW55+AZ55+BD55+BR55+AB55)</f>
        <v>0</v>
      </c>
      <c r="BW55" s="237" t="s">
        <v>362</v>
      </c>
      <c r="BX55" s="139" t="s">
        <v>395</v>
      </c>
      <c r="BY55" s="139"/>
      <c r="BZ55" s="29">
        <f>J55-X55-AE55-BN55-AL55-AS55-AZ55</f>
        <v>12000</v>
      </c>
      <c r="CA55" s="30">
        <f>V55-Y55-AF55-BO55-AM55-AT55-BA55</f>
        <v>-3312320</v>
      </c>
      <c r="CB55" s="7" t="s">
        <v>55</v>
      </c>
      <c r="CC55" s="7" t="s">
        <v>294</v>
      </c>
    </row>
    <row r="56" spans="1:81" s="13" customFormat="1" ht="49.5" customHeight="1" x14ac:dyDescent="0.2">
      <c r="A56" s="16">
        <v>2</v>
      </c>
      <c r="B56" s="22" t="s">
        <v>82</v>
      </c>
      <c r="C56" s="16" t="s">
        <v>1</v>
      </c>
      <c r="D56" s="17" t="s">
        <v>2</v>
      </c>
      <c r="E56" s="33"/>
      <c r="F56" s="33"/>
      <c r="G56" s="34">
        <v>40914</v>
      </c>
      <c r="H56" s="22" t="s">
        <v>78</v>
      </c>
      <c r="I56" s="35" t="s">
        <v>62</v>
      </c>
      <c r="J56" s="36">
        <v>95260</v>
      </c>
      <c r="K56" s="92">
        <f>L56-J56</f>
        <v>31020</v>
      </c>
      <c r="L56" s="92">
        <v>126280</v>
      </c>
      <c r="M56" s="96"/>
      <c r="N56" s="96"/>
      <c r="O56" s="100"/>
      <c r="P56" s="100"/>
      <c r="Q56" s="105"/>
      <c r="R56" s="105"/>
      <c r="S56" s="100"/>
      <c r="T56" s="100"/>
      <c r="U56" s="184">
        <f t="shared" si="53"/>
        <v>126280</v>
      </c>
      <c r="V56" s="36">
        <f>7517919</f>
        <v>7517919</v>
      </c>
      <c r="W56" s="28">
        <f>V56/J56</f>
        <v>78.919997900482883</v>
      </c>
      <c r="X56" s="37">
        <f>J56*0.4/1.1</f>
        <v>34640</v>
      </c>
      <c r="Y56" s="38">
        <v>2688064</v>
      </c>
      <c r="Z56" s="54">
        <v>41132</v>
      </c>
      <c r="AA56" s="8">
        <f>Y56/X56</f>
        <v>77.599999999999994</v>
      </c>
      <c r="AB56" s="37">
        <f>X56*0.1</f>
        <v>3464</v>
      </c>
      <c r="AC56" s="38">
        <f>AB56*20828</f>
        <v>72148192</v>
      </c>
      <c r="AD56" s="38" t="s">
        <v>192</v>
      </c>
      <c r="AE56" s="39">
        <f>38104/1.1</f>
        <v>34640</v>
      </c>
      <c r="AF56" s="40">
        <v>3638932</v>
      </c>
      <c r="AG56" s="40" t="s">
        <v>343</v>
      </c>
      <c r="AH56" s="39">
        <f>AF56/AE56</f>
        <v>105.05</v>
      </c>
      <c r="AI56" s="39">
        <f t="shared" si="54"/>
        <v>3464</v>
      </c>
      <c r="AJ56" s="40">
        <f>AI56*21036</f>
        <v>72868704</v>
      </c>
      <c r="AK56" s="40" t="s">
        <v>348</v>
      </c>
      <c r="AL56" s="64">
        <f>24112/1.1</f>
        <v>21920</v>
      </c>
      <c r="AM56" s="65">
        <v>2228387</v>
      </c>
      <c r="AN56" s="156" t="s">
        <v>387</v>
      </c>
      <c r="AO56" s="61">
        <f>AM56/AL56</f>
        <v>101.65999087591241</v>
      </c>
      <c r="AP56" s="64">
        <f>AL56*0.1</f>
        <v>2192</v>
      </c>
      <c r="AQ56" s="65">
        <f>AP56*21246</f>
        <v>46571232</v>
      </c>
      <c r="AR56" s="65" t="s">
        <v>391</v>
      </c>
      <c r="AS56" s="37"/>
      <c r="AT56" s="38"/>
      <c r="AU56" s="38"/>
      <c r="AV56" s="8"/>
      <c r="AW56" s="37"/>
      <c r="AX56" s="38"/>
      <c r="AY56" s="38"/>
      <c r="AZ56" s="85"/>
      <c r="BA56" s="86"/>
      <c r="BB56" s="86"/>
      <c r="BC56" s="83"/>
      <c r="BD56" s="85"/>
      <c r="BE56" s="86"/>
      <c r="BF56" s="86"/>
      <c r="BG56" s="282"/>
      <c r="BH56" s="282"/>
      <c r="BI56" s="282"/>
      <c r="BJ56" s="282"/>
      <c r="BK56" s="282"/>
      <c r="BL56" s="282"/>
      <c r="BM56" s="282"/>
      <c r="BN56" s="41"/>
      <c r="BO56" s="127"/>
      <c r="BP56" s="41"/>
      <c r="BQ56" s="41"/>
      <c r="BR56" s="41"/>
      <c r="BS56" s="127"/>
      <c r="BT56" s="41"/>
      <c r="BU56" s="8">
        <f t="shared" si="55"/>
        <v>100320</v>
      </c>
      <c r="BV56" s="263">
        <f>L56-(X56+AE56+BN56+AI56+AL56+AP56+AS56+AW56+AZ56+BD56+BR56+AB56)</f>
        <v>25960</v>
      </c>
      <c r="BW56" s="237"/>
      <c r="BX56" s="139" t="s">
        <v>397</v>
      </c>
      <c r="BY56" s="139"/>
      <c r="BZ56" s="29">
        <f>L56-X56-AE56-BN56-AL56-AS56-AZ56</f>
        <v>35080</v>
      </c>
      <c r="CA56" s="30">
        <f>V56/1.1-Y56-AF56-BO56-AM56-AT56-BA56</f>
        <v>-1720911.1818181826</v>
      </c>
      <c r="CB56" s="42"/>
      <c r="CC56" s="7" t="s">
        <v>293</v>
      </c>
    </row>
    <row r="57" spans="1:81" s="113" customFormat="1" ht="49.5" customHeight="1" x14ac:dyDescent="0.2">
      <c r="A57" s="16">
        <v>3</v>
      </c>
      <c r="B57" s="22"/>
      <c r="C57" s="22" t="s">
        <v>83</v>
      </c>
      <c r="D57" s="33" t="s">
        <v>58</v>
      </c>
      <c r="E57" s="33"/>
      <c r="F57" s="33"/>
      <c r="G57" s="22" t="s">
        <v>59</v>
      </c>
      <c r="H57" s="22" t="s">
        <v>60</v>
      </c>
      <c r="I57" s="35" t="s">
        <v>61</v>
      </c>
      <c r="J57" s="36">
        <v>5758</v>
      </c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184">
        <f t="shared" si="53"/>
        <v>5758</v>
      </c>
      <c r="V57" s="36"/>
      <c r="W57" s="28">
        <f>V57/J57</f>
        <v>0</v>
      </c>
      <c r="X57" s="44">
        <f>J57*0.4/1.1</f>
        <v>2093.818181818182</v>
      </c>
      <c r="Y57" s="36"/>
      <c r="Z57" s="131"/>
      <c r="AA57" s="28">
        <f t="shared" ref="AA57" si="56">Y57/X57</f>
        <v>0</v>
      </c>
      <c r="AB57" s="44">
        <f>X57*0.1</f>
        <v>209.3818181818182</v>
      </c>
      <c r="AC57" s="36">
        <f>AB57*20828</f>
        <v>4361004.5090909097</v>
      </c>
      <c r="AD57" s="36" t="s">
        <v>140</v>
      </c>
      <c r="AE57" s="44">
        <f>(J57-X57-AB57)/1.1</f>
        <v>3140.7272727272721</v>
      </c>
      <c r="AF57" s="36"/>
      <c r="AG57" s="36"/>
      <c r="AH57" s="44">
        <f>AF57/AE57</f>
        <v>0</v>
      </c>
      <c r="AI57" s="44">
        <f t="shared" si="54"/>
        <v>314.07272727272721</v>
      </c>
      <c r="AJ57" s="36">
        <f>AI57*20828</f>
        <v>6541506.7636363618</v>
      </c>
      <c r="AK57" s="132" t="s">
        <v>208</v>
      </c>
      <c r="AL57" s="44"/>
      <c r="AM57" s="36"/>
      <c r="AN57" s="36"/>
      <c r="AO57" s="28"/>
      <c r="AP57" s="44"/>
      <c r="AQ57" s="36"/>
      <c r="AR57" s="36"/>
      <c r="AS57" s="44"/>
      <c r="AT57" s="36"/>
      <c r="AU57" s="36"/>
      <c r="AV57" s="28"/>
      <c r="AW57" s="44"/>
      <c r="AX57" s="36"/>
      <c r="AY57" s="36"/>
      <c r="AZ57" s="44"/>
      <c r="BA57" s="36"/>
      <c r="BB57" s="36"/>
      <c r="BC57" s="28"/>
      <c r="BD57" s="44"/>
      <c r="BE57" s="36"/>
      <c r="BF57" s="36"/>
      <c r="BG57" s="282"/>
      <c r="BH57" s="282"/>
      <c r="BI57" s="282"/>
      <c r="BJ57" s="282"/>
      <c r="BK57" s="282"/>
      <c r="BL57" s="282"/>
      <c r="BM57" s="282"/>
      <c r="BN57" s="44"/>
      <c r="BO57" s="36"/>
      <c r="BP57" s="44"/>
      <c r="BQ57" s="44"/>
      <c r="BR57" s="44"/>
      <c r="BS57" s="36"/>
      <c r="BT57" s="44"/>
      <c r="BU57" s="8">
        <f t="shared" si="55"/>
        <v>5758</v>
      </c>
      <c r="BV57" s="263">
        <f t="shared" ref="BV57:BV63" si="57">J57-(X57+AE57+BN57+AI57+AL57+AP57+AS57+AW57+AZ57+BD57+BR57+AB57)</f>
        <v>0</v>
      </c>
      <c r="BW57" s="237"/>
      <c r="BX57" s="139" t="s">
        <v>395</v>
      </c>
      <c r="BY57" s="139"/>
      <c r="BZ57" s="29">
        <f>L57-X57-AE57-BN57-AL57-AS57-AZ57</f>
        <v>-5234.545454545454</v>
      </c>
      <c r="CA57" s="133">
        <f>V57/1.1-Y57-AF57-BO57-AM57-AT57-BA57</f>
        <v>0</v>
      </c>
      <c r="CB57" s="17" t="s">
        <v>95</v>
      </c>
      <c r="CC57" s="135" t="s">
        <v>212</v>
      </c>
    </row>
    <row r="58" spans="1:81" s="13" customFormat="1" ht="49.5" customHeight="1" x14ac:dyDescent="0.2">
      <c r="A58" s="22">
        <v>4</v>
      </c>
      <c r="B58" s="22" t="s">
        <v>375</v>
      </c>
      <c r="C58" s="16" t="s">
        <v>1</v>
      </c>
      <c r="D58" s="33" t="s">
        <v>2</v>
      </c>
      <c r="E58" s="33"/>
      <c r="F58" s="33"/>
      <c r="G58" s="22" t="s">
        <v>77</v>
      </c>
      <c r="H58" s="22"/>
      <c r="I58" s="35" t="s">
        <v>118</v>
      </c>
      <c r="J58" s="36">
        <v>17204</v>
      </c>
      <c r="K58" s="92"/>
      <c r="L58" s="92"/>
      <c r="M58" s="96"/>
      <c r="N58" s="96"/>
      <c r="O58" s="100"/>
      <c r="P58" s="100"/>
      <c r="Q58" s="105"/>
      <c r="R58" s="105"/>
      <c r="S58" s="100"/>
      <c r="T58" s="100"/>
      <c r="U58" s="184">
        <f t="shared" si="53"/>
        <v>17204</v>
      </c>
      <c r="V58" s="36">
        <f>1240408*1.1</f>
        <v>1364448.8</v>
      </c>
      <c r="W58" s="28">
        <f>V58/J58</f>
        <v>79.309974424552436</v>
      </c>
      <c r="X58" s="37">
        <f>J58*0.4/1.1</f>
        <v>6256</v>
      </c>
      <c r="Y58" s="38">
        <v>548220</v>
      </c>
      <c r="Z58" s="54" t="s">
        <v>179</v>
      </c>
      <c r="AA58" s="8">
        <f>Y58/X58</f>
        <v>87.631074168797952</v>
      </c>
      <c r="AB58" s="37">
        <f>X58*0.1</f>
        <v>625.6</v>
      </c>
      <c r="AC58" s="38">
        <f>AB58*20828</f>
        <v>13029996.800000001</v>
      </c>
      <c r="AD58" s="38" t="s">
        <v>192</v>
      </c>
      <c r="AE58" s="39">
        <v>6256.36</v>
      </c>
      <c r="AF58" s="40">
        <v>570172</v>
      </c>
      <c r="AG58" s="58" t="s">
        <v>218</v>
      </c>
      <c r="AH58" s="39">
        <f>AF58/AE58</f>
        <v>91.134781246603467</v>
      </c>
      <c r="AI58" s="39">
        <f t="shared" si="54"/>
        <v>625.63599999999997</v>
      </c>
      <c r="AJ58" s="40">
        <f>AI58*20828</f>
        <v>13030746.607999999</v>
      </c>
      <c r="AK58" s="67" t="s">
        <v>229</v>
      </c>
      <c r="AL58" s="64">
        <f>3440.4/1.1</f>
        <v>3127.6363636363635</v>
      </c>
      <c r="AM58" s="65">
        <v>317956</v>
      </c>
      <c r="AN58" s="156" t="s">
        <v>386</v>
      </c>
      <c r="AO58" s="61">
        <f>AM58/AL58</f>
        <v>101.6601557958377</v>
      </c>
      <c r="AP58" s="64">
        <f>AL58*0.1</f>
        <v>312.76363636363635</v>
      </c>
      <c r="AQ58" s="65">
        <v>6644984</v>
      </c>
      <c r="AR58" s="65" t="s">
        <v>391</v>
      </c>
      <c r="AS58" s="37"/>
      <c r="AT58" s="38"/>
      <c r="AU58" s="38"/>
      <c r="AV58" s="8"/>
      <c r="AW58" s="37"/>
      <c r="AX58" s="38"/>
      <c r="AY58" s="38"/>
      <c r="AZ58" s="85"/>
      <c r="BA58" s="86"/>
      <c r="BB58" s="86"/>
      <c r="BC58" s="83"/>
      <c r="BD58" s="85"/>
      <c r="BE58" s="86"/>
      <c r="BF58" s="86"/>
      <c r="BG58" s="282"/>
      <c r="BH58" s="282"/>
      <c r="BI58" s="282"/>
      <c r="BJ58" s="282"/>
      <c r="BK58" s="282"/>
      <c r="BL58" s="282"/>
      <c r="BM58" s="282"/>
      <c r="BN58" s="41"/>
      <c r="BO58" s="127"/>
      <c r="BP58" s="41"/>
      <c r="BQ58" s="41"/>
      <c r="BR58" s="41"/>
      <c r="BS58" s="127"/>
      <c r="BT58" s="41"/>
      <c r="BU58" s="8">
        <f t="shared" si="55"/>
        <v>17203.995999999999</v>
      </c>
      <c r="BV58" s="263">
        <f>J58-(X58+AE58+BN58+AI58+AL58+AP58+AS58+AW58+AZ58+BD58+BR58+AB58)</f>
        <v>4.0000000008149073E-3</v>
      </c>
      <c r="BW58" s="239" t="s">
        <v>362</v>
      </c>
      <c r="BX58" s="139" t="s">
        <v>395</v>
      </c>
      <c r="BY58" s="139"/>
      <c r="BZ58" s="29">
        <f>L58-X58-AE58-BN58-AL58-AS58-AZ58</f>
        <v>-15639.996363636365</v>
      </c>
      <c r="CA58" s="276">
        <f>V58/1.1-Y58-AF58-BO58-AM58-AT58-BA58</f>
        <v>-195940</v>
      </c>
      <c r="CB58" s="42"/>
      <c r="CC58" s="7" t="s">
        <v>187</v>
      </c>
    </row>
    <row r="59" spans="1:81" s="13" customFormat="1" ht="49.5" customHeight="1" x14ac:dyDescent="0.2">
      <c r="A59" s="22">
        <v>5</v>
      </c>
      <c r="B59" s="22"/>
      <c r="C59" s="16" t="s">
        <v>282</v>
      </c>
      <c r="D59" s="111" t="s">
        <v>254</v>
      </c>
      <c r="E59" s="33"/>
      <c r="F59" s="33"/>
      <c r="G59" s="22" t="s">
        <v>255</v>
      </c>
      <c r="H59" s="22"/>
      <c r="I59" s="35" t="s">
        <v>256</v>
      </c>
      <c r="J59" s="36">
        <v>3176</v>
      </c>
      <c r="K59" s="92"/>
      <c r="L59" s="92"/>
      <c r="M59" s="96"/>
      <c r="N59" s="96"/>
      <c r="O59" s="100"/>
      <c r="P59" s="100"/>
      <c r="Q59" s="105"/>
      <c r="R59" s="105"/>
      <c r="S59" s="100"/>
      <c r="T59" s="100"/>
      <c r="U59" s="184">
        <f t="shared" si="53"/>
        <v>3176</v>
      </c>
      <c r="V59" s="36"/>
      <c r="W59" s="28">
        <f>V59/J59</f>
        <v>0</v>
      </c>
      <c r="X59" s="37">
        <f>J59*0.4/1.1</f>
        <v>1154.909090909091</v>
      </c>
      <c r="Y59" s="38"/>
      <c r="Z59" s="54"/>
      <c r="AA59" s="8">
        <f>Y59/X59</f>
        <v>0</v>
      </c>
      <c r="AB59" s="37">
        <f>X59*0.1</f>
        <v>115.4909090909091</v>
      </c>
      <c r="AC59" s="38">
        <f>(X59+AB59)*21036</f>
        <v>26724134.400000002</v>
      </c>
      <c r="AD59" s="38" t="s">
        <v>257</v>
      </c>
      <c r="AE59" s="39">
        <f>1905.6/1.1</f>
        <v>1732.363636363636</v>
      </c>
      <c r="AF59" s="40"/>
      <c r="AG59" s="58"/>
      <c r="AH59" s="39"/>
      <c r="AI59" s="39">
        <f t="shared" si="54"/>
        <v>173.23636363636362</v>
      </c>
      <c r="AJ59" s="40">
        <f>AI59*21036</f>
        <v>3644200.145454545</v>
      </c>
      <c r="AK59" s="67" t="s">
        <v>315</v>
      </c>
      <c r="AL59" s="64"/>
      <c r="AM59" s="65"/>
      <c r="AN59" s="65"/>
      <c r="AO59" s="61"/>
      <c r="AP59" s="64"/>
      <c r="AQ59" s="65"/>
      <c r="AR59" s="65"/>
      <c r="AS59" s="37"/>
      <c r="AT59" s="38"/>
      <c r="AU59" s="38"/>
      <c r="AV59" s="8"/>
      <c r="AW59" s="37"/>
      <c r="AX59" s="38"/>
      <c r="AY59" s="38"/>
      <c r="AZ59" s="85"/>
      <c r="BA59" s="86"/>
      <c r="BB59" s="86"/>
      <c r="BC59" s="83"/>
      <c r="BD59" s="85"/>
      <c r="BE59" s="86"/>
      <c r="BF59" s="86"/>
      <c r="BG59" s="282"/>
      <c r="BH59" s="282"/>
      <c r="BI59" s="282"/>
      <c r="BJ59" s="282"/>
      <c r="BK59" s="282"/>
      <c r="BL59" s="282"/>
      <c r="BM59" s="282"/>
      <c r="BN59" s="41"/>
      <c r="BO59" s="127"/>
      <c r="BP59" s="41"/>
      <c r="BQ59" s="41"/>
      <c r="BR59" s="41"/>
      <c r="BS59" s="127"/>
      <c r="BT59" s="41"/>
      <c r="BU59" s="8">
        <f t="shared" si="55"/>
        <v>3175.9999999999995</v>
      </c>
      <c r="BV59" s="263">
        <f t="shared" si="57"/>
        <v>0</v>
      </c>
      <c r="BW59" s="237"/>
      <c r="BX59" s="139" t="s">
        <v>395</v>
      </c>
      <c r="BY59" s="139"/>
      <c r="BZ59" s="29">
        <f>L59-X59-AE59-BN59-AL59-AS59-AZ59</f>
        <v>-2887.272727272727</v>
      </c>
      <c r="CA59" s="276">
        <f t="shared" ref="CA59:CA60" si="58">V59/1.1-Y59-AF59-BO59-AM59-AT59-BA59</f>
        <v>0</v>
      </c>
      <c r="CB59" s="43" t="s">
        <v>296</v>
      </c>
      <c r="CC59" s="7" t="s">
        <v>293</v>
      </c>
    </row>
    <row r="60" spans="1:81" s="13" customFormat="1" ht="49.5" customHeight="1" x14ac:dyDescent="0.2">
      <c r="A60" s="157"/>
      <c r="B60" s="22" t="s">
        <v>378</v>
      </c>
      <c r="C60" s="22" t="s">
        <v>325</v>
      </c>
      <c r="D60" s="1" t="s">
        <v>106</v>
      </c>
      <c r="E60" s="33"/>
      <c r="F60" s="33"/>
      <c r="G60" s="6">
        <v>40914</v>
      </c>
      <c r="H60" s="22"/>
      <c r="I60" s="158" t="s">
        <v>326</v>
      </c>
      <c r="J60" s="2">
        <v>72214</v>
      </c>
      <c r="K60" s="92"/>
      <c r="L60" s="92"/>
      <c r="M60" s="96"/>
      <c r="N60" s="96"/>
      <c r="O60" s="100"/>
      <c r="P60" s="100"/>
      <c r="Q60" s="105"/>
      <c r="R60" s="105"/>
      <c r="S60" s="100"/>
      <c r="T60" s="100"/>
      <c r="U60" s="184">
        <f t="shared" si="53"/>
        <v>72214</v>
      </c>
      <c r="V60" s="36">
        <v>5206662</v>
      </c>
      <c r="W60" s="28">
        <f>V60/(J60/1.1)</f>
        <v>79.310496579610614</v>
      </c>
      <c r="X60" s="8">
        <v>32825</v>
      </c>
      <c r="Y60" s="38">
        <v>2579966</v>
      </c>
      <c r="Z60" s="37" t="s">
        <v>168</v>
      </c>
      <c r="AA60" s="37">
        <f>Y60/X60</f>
        <v>78.59759329779132</v>
      </c>
      <c r="AB60" s="37">
        <f>X60*0.1</f>
        <v>3282.5</v>
      </c>
      <c r="AC60" s="38">
        <f>AB60*21246</f>
        <v>69739995</v>
      </c>
      <c r="AD60" s="38" t="s">
        <v>393</v>
      </c>
      <c r="AE60" s="288">
        <f>32824.09</f>
        <v>32824.089999999997</v>
      </c>
      <c r="AF60" s="289">
        <v>3588986</v>
      </c>
      <c r="AG60" s="290" t="s">
        <v>394</v>
      </c>
      <c r="AH60" s="288">
        <f>AF60/AE60</f>
        <v>109.33999998172075</v>
      </c>
      <c r="AI60" s="288">
        <f t="shared" si="54"/>
        <v>3282.4089999999997</v>
      </c>
      <c r="AJ60" s="289">
        <f>AI60*21246</f>
        <v>69738061.613999993</v>
      </c>
      <c r="AK60" s="290" t="s">
        <v>401</v>
      </c>
      <c r="AL60" s="64"/>
      <c r="AM60" s="65"/>
      <c r="AN60" s="65"/>
      <c r="AO60" s="64"/>
      <c r="AP60" s="64"/>
      <c r="AQ60" s="65"/>
      <c r="AR60" s="65"/>
      <c r="AS60" s="37"/>
      <c r="AT60" s="38"/>
      <c r="AU60" s="38"/>
      <c r="AV60" s="37"/>
      <c r="AW60" s="37"/>
      <c r="AX60" s="38"/>
      <c r="AY60" s="38"/>
      <c r="AZ60" s="85"/>
      <c r="BA60" s="86"/>
      <c r="BB60" s="86"/>
      <c r="BC60" s="85"/>
      <c r="BD60" s="85"/>
      <c r="BE60" s="86"/>
      <c r="BF60" s="86"/>
      <c r="BG60" s="282"/>
      <c r="BH60" s="282"/>
      <c r="BI60" s="282"/>
      <c r="BJ60" s="282"/>
      <c r="BK60" s="282"/>
      <c r="BL60" s="282"/>
      <c r="BM60" s="282"/>
      <c r="BN60" s="41"/>
      <c r="BO60" s="41"/>
      <c r="BP60" s="41"/>
      <c r="BQ60" s="41"/>
      <c r="BR60" s="41"/>
      <c r="BS60" s="41"/>
      <c r="BT60" s="159"/>
      <c r="BU60" s="8">
        <f t="shared" si="55"/>
        <v>72213.998999999996</v>
      </c>
      <c r="BV60" s="264">
        <f>J60-(X60+AE60+BN60+AI60+AL60+AP60+AS60+AW60+AZ60+BD60+BR60+AB60)</f>
        <v>1.0000000038417056E-3</v>
      </c>
      <c r="BW60" s="237"/>
      <c r="BX60" s="139" t="s">
        <v>395</v>
      </c>
      <c r="BY60" s="139"/>
      <c r="BZ60" s="30"/>
      <c r="CA60" s="276">
        <f t="shared" si="58"/>
        <v>-1435622.9090909092</v>
      </c>
      <c r="CB60" s="7"/>
    </row>
    <row r="61" spans="1:81" s="13" customFormat="1" ht="49.5" customHeight="1" x14ac:dyDescent="0.2">
      <c r="A61" s="22"/>
      <c r="B61" s="22" t="s">
        <v>381</v>
      </c>
      <c r="C61" s="16" t="s">
        <v>1</v>
      </c>
      <c r="D61" s="7" t="s">
        <v>174</v>
      </c>
      <c r="E61" s="33"/>
      <c r="F61" s="33"/>
      <c r="G61" s="109">
        <v>40916</v>
      </c>
      <c r="H61" s="22"/>
      <c r="I61" s="77" t="s">
        <v>175</v>
      </c>
      <c r="J61" s="78">
        <v>440000</v>
      </c>
      <c r="K61" s="92">
        <v>1760</v>
      </c>
      <c r="L61" s="92">
        <f>J61+K61</f>
        <v>441760</v>
      </c>
      <c r="M61" s="96"/>
      <c r="N61" s="96"/>
      <c r="O61" s="100"/>
      <c r="P61" s="100"/>
      <c r="Q61" s="105"/>
      <c r="R61" s="105"/>
      <c r="S61" s="100"/>
      <c r="T61" s="100"/>
      <c r="U61" s="184">
        <f t="shared" si="53"/>
        <v>441760</v>
      </c>
      <c r="V61" s="36"/>
      <c r="W61" s="44"/>
      <c r="X61" s="8">
        <v>80000</v>
      </c>
      <c r="Y61" s="38"/>
      <c r="Z61" s="54"/>
      <c r="AA61" s="37"/>
      <c r="AB61" s="37">
        <v>8000</v>
      </c>
      <c r="AC61" s="38"/>
      <c r="AD61" s="38"/>
      <c r="AE61" s="39">
        <v>80000</v>
      </c>
      <c r="AF61" s="40"/>
      <c r="AG61" s="67"/>
      <c r="AH61" s="39"/>
      <c r="AI61" s="39">
        <v>8000</v>
      </c>
      <c r="AJ61" s="40"/>
      <c r="AK61" s="67"/>
      <c r="AL61" s="64">
        <v>100000</v>
      </c>
      <c r="AM61" s="65"/>
      <c r="AN61" s="65"/>
      <c r="AO61" s="64"/>
      <c r="AP61" s="64">
        <v>10000</v>
      </c>
      <c r="AQ61" s="65"/>
      <c r="AR61" s="65"/>
      <c r="AS61" s="37">
        <v>40000</v>
      </c>
      <c r="AT61" s="38"/>
      <c r="AU61" s="38"/>
      <c r="AV61" s="37"/>
      <c r="AW61" s="37">
        <v>4000</v>
      </c>
      <c r="AX61" s="38"/>
      <c r="AY61" s="38"/>
      <c r="AZ61" s="85">
        <v>60000</v>
      </c>
      <c r="BA61" s="86"/>
      <c r="BB61" s="86"/>
      <c r="BC61" s="85"/>
      <c r="BD61" s="85">
        <v>6000</v>
      </c>
      <c r="BE61" s="86"/>
      <c r="BF61" s="86"/>
      <c r="BG61" s="282"/>
      <c r="BH61" s="282"/>
      <c r="BI61" s="282"/>
      <c r="BJ61" s="282"/>
      <c r="BK61" s="282"/>
      <c r="BL61" s="282"/>
      <c r="BM61" s="282"/>
      <c r="BN61" s="41">
        <f>40000+1600</f>
        <v>41600</v>
      </c>
      <c r="BO61" s="41">
        <f>4066400+162656</f>
        <v>4229056</v>
      </c>
      <c r="BP61" s="277" t="s">
        <v>387</v>
      </c>
      <c r="BQ61" s="41">
        <f>BO61/BN61</f>
        <v>101.66</v>
      </c>
      <c r="BR61" s="41">
        <f>BN61*0.1</f>
        <v>4160</v>
      </c>
      <c r="BS61" s="41">
        <f>BR61*21246</f>
        <v>88383360</v>
      </c>
      <c r="BT61" s="159" t="s">
        <v>391</v>
      </c>
      <c r="BU61" s="8">
        <f t="shared" si="55"/>
        <v>441760</v>
      </c>
      <c r="BV61" s="263">
        <f>L61-(X61+AE61+BN61+AI61+AL61+AP61+AS61+AW61+AZ61+BD61+BR61+AB61)</f>
        <v>0</v>
      </c>
      <c r="BW61" s="237" t="s">
        <v>362</v>
      </c>
      <c r="BX61" s="139" t="s">
        <v>395</v>
      </c>
      <c r="BY61" s="139"/>
      <c r="BZ61" s="30"/>
      <c r="CA61" s="276"/>
      <c r="CB61" s="7"/>
    </row>
    <row r="62" spans="1:81" s="13" customFormat="1" ht="49.5" customHeight="1" x14ac:dyDescent="0.2">
      <c r="A62" s="16">
        <v>6</v>
      </c>
      <c r="B62" s="22" t="s">
        <v>383</v>
      </c>
      <c r="C62" s="22" t="s">
        <v>83</v>
      </c>
      <c r="D62" s="33" t="s">
        <v>58</v>
      </c>
      <c r="E62" s="33"/>
      <c r="F62" s="33"/>
      <c r="G62" s="22" t="s">
        <v>316</v>
      </c>
      <c r="H62" s="22"/>
      <c r="I62" s="35" t="s">
        <v>317</v>
      </c>
      <c r="J62" s="36">
        <v>23000</v>
      </c>
      <c r="K62" s="92"/>
      <c r="L62" s="92"/>
      <c r="M62" s="96"/>
      <c r="N62" s="96"/>
      <c r="O62" s="100"/>
      <c r="P62" s="100"/>
      <c r="Q62" s="105"/>
      <c r="R62" s="105"/>
      <c r="S62" s="100"/>
      <c r="T62" s="100"/>
      <c r="U62" s="184">
        <f t="shared" si="53"/>
        <v>23000</v>
      </c>
      <c r="V62" s="36">
        <v>2248250</v>
      </c>
      <c r="W62" s="44">
        <f>V62/J62</f>
        <v>97.75</v>
      </c>
      <c r="X62" s="37">
        <f>J62*0.4/1.1</f>
        <v>8363.6363636363621</v>
      </c>
      <c r="Y62" s="38">
        <v>823902</v>
      </c>
      <c r="Z62" s="54" t="s">
        <v>313</v>
      </c>
      <c r="AA62" s="37">
        <f>Y62/X62</f>
        <v>98.510021739130451</v>
      </c>
      <c r="AB62" s="37">
        <f>X62*0.1</f>
        <v>836.36363636363626</v>
      </c>
      <c r="AC62" s="38">
        <f>AB62*21036</f>
        <v>17593745.454545453</v>
      </c>
      <c r="AD62" s="59" t="s">
        <v>340</v>
      </c>
      <c r="AE62" s="39">
        <f>9200/1.1</f>
        <v>8363.6363636363621</v>
      </c>
      <c r="AF62" s="40">
        <v>878600</v>
      </c>
      <c r="AG62" s="67" t="s">
        <v>343</v>
      </c>
      <c r="AH62" s="39">
        <f>AF62/AE62</f>
        <v>105.05000000000003</v>
      </c>
      <c r="AI62" s="39">
        <f>AE62*0.1</f>
        <v>836.36363636363626</v>
      </c>
      <c r="AJ62" s="40">
        <f>AI62*21036</f>
        <v>17593745.454545453</v>
      </c>
      <c r="AK62" s="40" t="s">
        <v>347</v>
      </c>
      <c r="AL62" s="64">
        <f>4600/1.1</f>
        <v>4181.8181818181811</v>
      </c>
      <c r="AM62" s="65">
        <v>425124</v>
      </c>
      <c r="AN62" s="65" t="s">
        <v>368</v>
      </c>
      <c r="AO62" s="64">
        <f>AM62/AL62</f>
        <v>101.66008695652175</v>
      </c>
      <c r="AP62" s="64">
        <f>AL62*0.1</f>
        <v>418.18181818181813</v>
      </c>
      <c r="AQ62" s="65">
        <f>AP62*21246</f>
        <v>8884690.9090909082</v>
      </c>
      <c r="AR62" s="156" t="s">
        <v>388</v>
      </c>
      <c r="AS62" s="37"/>
      <c r="AT62" s="38"/>
      <c r="AU62" s="38"/>
      <c r="AV62" s="37"/>
      <c r="AW62" s="37"/>
      <c r="AX62" s="38"/>
      <c r="AY62" s="38"/>
      <c r="AZ62" s="85"/>
      <c r="BA62" s="86"/>
      <c r="BB62" s="86"/>
      <c r="BC62" s="85"/>
      <c r="BD62" s="85"/>
      <c r="BE62" s="86"/>
      <c r="BF62" s="86"/>
      <c r="BG62" s="282"/>
      <c r="BH62" s="282"/>
      <c r="BI62" s="282"/>
      <c r="BJ62" s="282"/>
      <c r="BK62" s="282"/>
      <c r="BL62" s="282"/>
      <c r="BM62" s="282"/>
      <c r="BN62" s="41"/>
      <c r="BO62" s="127"/>
      <c r="BP62" s="41"/>
      <c r="BQ62" s="41"/>
      <c r="BR62" s="41"/>
      <c r="BS62" s="127"/>
      <c r="BT62" s="41"/>
      <c r="BU62" s="8">
        <f t="shared" si="55"/>
        <v>22999.999999999996</v>
      </c>
      <c r="BV62" s="263">
        <f>J62-(X62+AE62+BN62+AI62+AL62+AP62+AS62+AW62+AZ62+BD62+BR62+AB62)</f>
        <v>0</v>
      </c>
      <c r="BW62" s="237" t="s">
        <v>362</v>
      </c>
      <c r="BX62" s="139" t="s">
        <v>395</v>
      </c>
      <c r="BY62" s="139"/>
      <c r="BZ62" s="29">
        <f>J62-X62-AE62-BN62-AL62-AS62-AZ62</f>
        <v>2090.9090909090946</v>
      </c>
      <c r="CA62" s="30">
        <f>V62-Y62-AF62-BO62-AM62-AT62-BA62</f>
        <v>120624</v>
      </c>
      <c r="CB62" s="29"/>
      <c r="CC62" s="12"/>
    </row>
    <row r="63" spans="1:81" s="13" customFormat="1" ht="17.100000000000001" customHeight="1" x14ac:dyDescent="0.2">
      <c r="A63" s="22"/>
      <c r="B63" s="22"/>
      <c r="C63" s="22"/>
      <c r="D63" s="33"/>
      <c r="E63" s="33"/>
      <c r="F63" s="33"/>
      <c r="G63" s="22"/>
      <c r="H63" s="22"/>
      <c r="I63" s="45"/>
      <c r="J63" s="36"/>
      <c r="K63" s="92"/>
      <c r="L63" s="92"/>
      <c r="M63" s="96"/>
      <c r="N63" s="96"/>
      <c r="O63" s="100"/>
      <c r="P63" s="100"/>
      <c r="Q63" s="105"/>
      <c r="R63" s="105"/>
      <c r="S63" s="100"/>
      <c r="T63" s="100"/>
      <c r="U63" s="185"/>
      <c r="V63" s="36"/>
      <c r="W63" s="44"/>
      <c r="X63" s="37"/>
      <c r="Y63" s="38"/>
      <c r="Z63" s="54"/>
      <c r="AA63" s="37"/>
      <c r="AB63" s="37"/>
      <c r="AC63" s="38"/>
      <c r="AD63" s="38"/>
      <c r="AE63" s="39"/>
      <c r="AF63" s="40"/>
      <c r="AG63" s="40"/>
      <c r="AH63" s="39"/>
      <c r="AI63" s="39"/>
      <c r="AJ63" s="40"/>
      <c r="AK63" s="40"/>
      <c r="AL63" s="64"/>
      <c r="AM63" s="65"/>
      <c r="AN63" s="65"/>
      <c r="AO63" s="64"/>
      <c r="AP63" s="64"/>
      <c r="AQ63" s="65"/>
      <c r="AR63" s="65"/>
      <c r="AS63" s="37"/>
      <c r="AT63" s="38"/>
      <c r="AU63" s="38"/>
      <c r="AV63" s="37"/>
      <c r="AW63" s="37"/>
      <c r="AX63" s="38"/>
      <c r="AY63" s="38"/>
      <c r="AZ63" s="85"/>
      <c r="BA63" s="86"/>
      <c r="BB63" s="86"/>
      <c r="BC63" s="85"/>
      <c r="BD63" s="85"/>
      <c r="BE63" s="86"/>
      <c r="BF63" s="86"/>
      <c r="BG63" s="282"/>
      <c r="BH63" s="282"/>
      <c r="BI63" s="282"/>
      <c r="BJ63" s="282"/>
      <c r="BK63" s="282"/>
      <c r="BL63" s="282"/>
      <c r="BM63" s="282"/>
      <c r="BN63" s="41"/>
      <c r="BO63" s="127"/>
      <c r="BP63" s="41"/>
      <c r="BQ63" s="41"/>
      <c r="BR63" s="41"/>
      <c r="BS63" s="127"/>
      <c r="BT63" s="41"/>
      <c r="BU63" s="8">
        <f t="shared" si="55"/>
        <v>0</v>
      </c>
      <c r="BV63" s="263">
        <f t="shared" si="57"/>
        <v>0</v>
      </c>
      <c r="BW63" s="237"/>
      <c r="BX63" s="139"/>
      <c r="BY63" s="139"/>
      <c r="BZ63" s="29">
        <f>L63-X63-AE63-BN63-AL63-AS63-AZ63</f>
        <v>0</v>
      </c>
      <c r="CA63" s="30">
        <f>V63/1.1-Y63-AF63-BO63-AM63-AT63-BA63</f>
        <v>0</v>
      </c>
      <c r="CB63" s="42"/>
      <c r="CC63" s="46"/>
    </row>
    <row r="64" spans="1:81" s="48" customFormat="1" ht="19.5" customHeight="1" x14ac:dyDescent="0.2">
      <c r="A64" s="359" t="s">
        <v>41</v>
      </c>
      <c r="B64" s="359"/>
      <c r="C64" s="359"/>
      <c r="D64" s="359"/>
      <c r="E64" s="359"/>
      <c r="F64" s="359"/>
      <c r="G64" s="359"/>
      <c r="H64" s="359"/>
      <c r="I64" s="359"/>
      <c r="J64" s="47">
        <f>J8+J24+J28+J54</f>
        <v>3636358</v>
      </c>
      <c r="K64" s="47">
        <f t="shared" ref="K64:S64" si="59">K8+K24+K28+K54</f>
        <v>318809.78999999998</v>
      </c>
      <c r="L64" s="47">
        <f t="shared" si="59"/>
        <v>3539005.79</v>
      </c>
      <c r="M64" s="47">
        <f t="shared" si="59"/>
        <v>333537</v>
      </c>
      <c r="N64" s="47">
        <f t="shared" si="59"/>
        <v>3304502.79</v>
      </c>
      <c r="O64" s="47">
        <f t="shared" si="59"/>
        <v>54855</v>
      </c>
      <c r="P64" s="47">
        <f t="shared" si="59"/>
        <v>3359357.7899999996</v>
      </c>
      <c r="Q64" s="47">
        <f t="shared" si="59"/>
        <v>5938.9</v>
      </c>
      <c r="R64" s="47">
        <f t="shared" si="59"/>
        <v>1250042.7999999998</v>
      </c>
      <c r="S64" s="47">
        <f t="shared" si="59"/>
        <v>4268.29</v>
      </c>
      <c r="T64" s="47">
        <f>T8+T24+T28+T54</f>
        <v>1254311.0899999999</v>
      </c>
      <c r="U64" s="248">
        <f>U8+U24+U28+U54</f>
        <v>4353766.9800000004</v>
      </c>
      <c r="V64" s="47">
        <f t="shared" ref="V64:CC64" si="60">V8+V24+V28+V54</f>
        <v>301237285.89999998</v>
      </c>
      <c r="W64" s="47">
        <f t="shared" si="60"/>
        <v>3301.9259902712352</v>
      </c>
      <c r="X64" s="47">
        <f t="shared" si="60"/>
        <v>1365272.3836363635</v>
      </c>
      <c r="Y64" s="47">
        <f t="shared" si="60"/>
        <v>102569836.45454545</v>
      </c>
      <c r="Z64" s="47">
        <f t="shared" si="60"/>
        <v>205955</v>
      </c>
      <c r="AA64" s="47">
        <f t="shared" si="60"/>
        <v>3247.3342861927954</v>
      </c>
      <c r="AB64" s="47">
        <f t="shared" si="60"/>
        <v>81589.038363636369</v>
      </c>
      <c r="AC64" s="47">
        <f t="shared" si="60"/>
        <v>1559228551.2596366</v>
      </c>
      <c r="AD64" s="47">
        <f t="shared" si="60"/>
        <v>0</v>
      </c>
      <c r="AE64" s="47">
        <f t="shared" si="60"/>
        <v>1172176.5554545454</v>
      </c>
      <c r="AF64" s="47">
        <f t="shared" si="60"/>
        <v>92289237.61454545</v>
      </c>
      <c r="AG64" s="47">
        <f t="shared" si="60"/>
        <v>0</v>
      </c>
      <c r="AH64" s="47">
        <f t="shared" si="60"/>
        <v>3487.2508061308258</v>
      </c>
      <c r="AI64" s="47">
        <f t="shared" si="60"/>
        <v>104960.49954545456</v>
      </c>
      <c r="AJ64" s="47">
        <f t="shared" si="60"/>
        <v>2066994159.4638181</v>
      </c>
      <c r="AK64" s="47">
        <f t="shared" si="60"/>
        <v>0</v>
      </c>
      <c r="AL64" s="47">
        <f t="shared" si="60"/>
        <v>671807.62999999989</v>
      </c>
      <c r="AM64" s="47">
        <f t="shared" si="60"/>
        <v>56946835.607272729</v>
      </c>
      <c r="AN64" s="47">
        <f t="shared" si="60"/>
        <v>0</v>
      </c>
      <c r="AO64" s="47">
        <f t="shared" si="60"/>
        <v>2686.9638460770348</v>
      </c>
      <c r="AP64" s="47">
        <f t="shared" si="60"/>
        <v>67180.762999999992</v>
      </c>
      <c r="AQ64" s="47">
        <f t="shared" si="60"/>
        <v>1202409147.0701818</v>
      </c>
      <c r="AR64" s="47">
        <f t="shared" si="60"/>
        <v>0</v>
      </c>
      <c r="AS64" s="47">
        <f t="shared" si="60"/>
        <v>162967.41272727272</v>
      </c>
      <c r="AT64" s="47">
        <f t="shared" si="60"/>
        <v>12310269</v>
      </c>
      <c r="AU64" s="47">
        <f t="shared" si="60"/>
        <v>0</v>
      </c>
      <c r="AV64" s="47">
        <f t="shared" si="60"/>
        <v>797.8249639263521</v>
      </c>
      <c r="AW64" s="47">
        <f t="shared" si="60"/>
        <v>16296.741272727271</v>
      </c>
      <c r="AX64" s="47">
        <f t="shared" si="60"/>
        <v>258300653.7010909</v>
      </c>
      <c r="AY64" s="47">
        <f t="shared" si="60"/>
        <v>0</v>
      </c>
      <c r="AZ64" s="47">
        <f t="shared" si="60"/>
        <v>227917.95454545453</v>
      </c>
      <c r="BA64" s="47">
        <f t="shared" si="60"/>
        <v>17149395</v>
      </c>
      <c r="BB64" s="47">
        <f t="shared" si="60"/>
        <v>0</v>
      </c>
      <c r="BC64" s="47">
        <f t="shared" si="60"/>
        <v>411.55007924472261</v>
      </c>
      <c r="BD64" s="47">
        <f t="shared" si="60"/>
        <v>22791.795454545452</v>
      </c>
      <c r="BE64" s="47">
        <f t="shared" si="60"/>
        <v>355262909.18181819</v>
      </c>
      <c r="BF64" s="47">
        <f>BF8+BF24+BF28+BF54</f>
        <v>0</v>
      </c>
      <c r="BG64" s="47">
        <f t="shared" ref="BG64:BM64" si="61">BG8+BG24+BG28+BG54</f>
        <v>48349.63636363636</v>
      </c>
      <c r="BH64" s="47">
        <f t="shared" si="61"/>
        <v>5286550</v>
      </c>
      <c r="BI64" s="47">
        <f t="shared" si="61"/>
        <v>0</v>
      </c>
      <c r="BJ64" s="47">
        <f t="shared" si="61"/>
        <v>109.34001571883591</v>
      </c>
      <c r="BK64" s="47">
        <f t="shared" si="61"/>
        <v>4834.9636363636364</v>
      </c>
      <c r="BL64" s="47">
        <f t="shared" si="61"/>
        <v>102723637.41818182</v>
      </c>
      <c r="BM64" s="47">
        <f t="shared" si="61"/>
        <v>0</v>
      </c>
      <c r="BN64" s="47">
        <f t="shared" si="60"/>
        <v>150188.17636363636</v>
      </c>
      <c r="BO64" s="47">
        <f t="shared" si="60"/>
        <v>15137781</v>
      </c>
      <c r="BP64" s="47">
        <f t="shared" si="60"/>
        <v>42128</v>
      </c>
      <c r="BQ64" s="47"/>
      <c r="BR64" s="47">
        <f>BR8+BR24+BR28+BR54</f>
        <v>14518.318636363636</v>
      </c>
      <c r="BS64" s="47">
        <f t="shared" ref="BS64:BT64" si="62">BS8+BS24+BS28+BS54</f>
        <v>300027200.96727276</v>
      </c>
      <c r="BT64" s="47">
        <f t="shared" si="62"/>
        <v>0</v>
      </c>
      <c r="BU64" s="291">
        <f>BU8+BU24+BU28+BU54</f>
        <v>4110851.8689999999</v>
      </c>
      <c r="BV64" s="291">
        <f>BV8+BV24+BV28+BV54</f>
        <v>242914.61099999998</v>
      </c>
      <c r="BW64" s="240"/>
      <c r="BX64" s="141"/>
      <c r="BY64" s="176"/>
      <c r="BZ64" s="222">
        <f>L64-X64-AE64-BN64-AL64-AS64-AZ64</f>
        <v>-211324.32272727269</v>
      </c>
      <c r="CA64" s="47">
        <f t="shared" si="60"/>
        <v>-9631193.2218181845</v>
      </c>
      <c r="CB64" s="47">
        <f t="shared" si="60"/>
        <v>10681856</v>
      </c>
      <c r="CC64" s="47">
        <f t="shared" si="60"/>
        <v>0</v>
      </c>
    </row>
    <row r="65" spans="1:82" s="207" customFormat="1" ht="17.100000000000001" customHeight="1" x14ac:dyDescent="0.25">
      <c r="A65" s="206"/>
      <c r="B65" s="206"/>
      <c r="D65" s="208" t="s">
        <v>297</v>
      </c>
      <c r="E65" s="208"/>
      <c r="F65" s="208"/>
      <c r="I65" s="209" t="s">
        <v>240</v>
      </c>
      <c r="J65" s="210"/>
      <c r="K65" s="210"/>
      <c r="L65" s="210"/>
      <c r="M65" s="210"/>
      <c r="N65" s="210"/>
      <c r="O65" s="210"/>
      <c r="P65" s="210"/>
      <c r="Q65" s="210"/>
      <c r="R65" s="210"/>
      <c r="S65" s="210"/>
      <c r="T65" s="210">
        <f>J64+K64+M64+O64+Q64+S64</f>
        <v>4353766.9800000004</v>
      </c>
      <c r="U65" s="210"/>
      <c r="V65" s="210"/>
      <c r="W65" s="211"/>
      <c r="X65" s="211"/>
      <c r="Y65" s="210"/>
      <c r="Z65" s="212"/>
      <c r="AA65" s="211"/>
      <c r="AB65" s="211"/>
      <c r="AC65" s="210"/>
      <c r="AD65" s="210"/>
      <c r="AE65" s="211"/>
      <c r="AF65" s="210"/>
      <c r="AG65" s="210"/>
      <c r="AH65" s="211"/>
      <c r="AI65" s="211"/>
      <c r="AJ65" s="210"/>
      <c r="AK65" s="210"/>
      <c r="AL65" s="211"/>
      <c r="AM65" s="210"/>
      <c r="AN65" s="210"/>
      <c r="AO65" s="211"/>
      <c r="AP65" s="211"/>
      <c r="AQ65" s="210"/>
      <c r="AR65" s="210"/>
      <c r="AS65" s="211"/>
      <c r="AT65" s="210"/>
      <c r="AU65" s="210"/>
      <c r="AV65" s="211"/>
      <c r="AW65" s="211"/>
      <c r="AX65" s="210"/>
      <c r="AY65" s="210"/>
      <c r="AZ65" s="211"/>
      <c r="BA65" s="210"/>
      <c r="BB65" s="210"/>
      <c r="BC65" s="211"/>
      <c r="BD65" s="211"/>
      <c r="BE65" s="210"/>
      <c r="BF65" s="210"/>
      <c r="BG65" s="210"/>
      <c r="BH65" s="210"/>
      <c r="BI65" s="210"/>
      <c r="BJ65" s="210"/>
      <c r="BK65" s="210"/>
      <c r="BL65" s="210"/>
      <c r="BM65" s="210"/>
      <c r="BN65" s="211"/>
      <c r="BO65" s="210"/>
      <c r="BP65" s="211"/>
      <c r="BQ65" s="211"/>
      <c r="BR65" s="211" t="s">
        <v>297</v>
      </c>
      <c r="BS65" s="210"/>
      <c r="BT65" s="211"/>
      <c r="BU65" s="210">
        <f>U64-BU64</f>
        <v>242915.1110000005</v>
      </c>
      <c r="BV65" s="215">
        <f>T65-X64-AB64-AE64-AI64-AL64-AP64-AS64-AW64-AZ64-BD64-BN64-BR64-BG64-BK64</f>
        <v>242915.11100000032</v>
      </c>
      <c r="BW65" s="241"/>
      <c r="BX65" s="213"/>
      <c r="BY65" s="214"/>
      <c r="BZ65" s="213"/>
      <c r="CA65" s="215"/>
    </row>
    <row r="66" spans="1:82" s="177" customFormat="1" ht="17.25" customHeight="1" x14ac:dyDescent="0.3">
      <c r="A66" s="376" t="s">
        <v>398</v>
      </c>
      <c r="B66" s="377"/>
      <c r="C66" s="377"/>
      <c r="D66" s="377"/>
      <c r="E66" s="377"/>
      <c r="F66" s="377"/>
      <c r="G66" s="377"/>
      <c r="H66" s="377"/>
      <c r="I66" s="377"/>
      <c r="J66" s="377"/>
      <c r="K66" s="377"/>
      <c r="L66" s="377"/>
      <c r="M66" s="377"/>
      <c r="N66" s="377"/>
      <c r="O66" s="377"/>
      <c r="P66" s="377"/>
      <c r="Q66" s="377"/>
      <c r="R66" s="377"/>
      <c r="S66" s="377"/>
      <c r="T66" s="377"/>
      <c r="U66" s="377"/>
      <c r="V66" s="377"/>
      <c r="W66" s="377"/>
      <c r="X66" s="377"/>
      <c r="Y66" s="377"/>
      <c r="Z66" s="377"/>
      <c r="AA66" s="377"/>
      <c r="AB66" s="377"/>
      <c r="AC66" s="377"/>
      <c r="AD66" s="377"/>
      <c r="AE66" s="377"/>
      <c r="AF66" s="377"/>
      <c r="AG66" s="377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7"/>
      <c r="AT66" s="377"/>
      <c r="AU66" s="377"/>
      <c r="AV66" s="377"/>
      <c r="AW66" s="377"/>
      <c r="AX66" s="377"/>
      <c r="AY66" s="377"/>
      <c r="AZ66" s="377"/>
      <c r="BA66" s="377"/>
      <c r="BB66" s="377"/>
      <c r="BC66" s="377"/>
      <c r="BD66" s="377"/>
      <c r="BE66" s="377"/>
      <c r="BF66" s="377"/>
      <c r="BG66" s="377"/>
      <c r="BH66" s="377"/>
      <c r="BI66" s="377"/>
      <c r="BJ66" s="377"/>
      <c r="BK66" s="377"/>
      <c r="BL66" s="377"/>
      <c r="BM66" s="377"/>
      <c r="BN66" s="377"/>
      <c r="BO66" s="377"/>
      <c r="BP66" s="377"/>
      <c r="BQ66" s="377"/>
      <c r="BR66" s="377"/>
      <c r="BS66" s="377"/>
      <c r="BT66" s="377"/>
      <c r="BU66" s="377"/>
      <c r="BV66" s="377"/>
      <c r="BW66" s="377"/>
      <c r="BX66" s="377"/>
      <c r="BY66" s="378"/>
      <c r="BZ66" s="178"/>
      <c r="CA66" s="179"/>
    </row>
    <row r="67" spans="1:82" s="13" customFormat="1" ht="19.5" customHeight="1" x14ac:dyDescent="0.2">
      <c r="A67" s="365" t="s">
        <v>0</v>
      </c>
      <c r="B67" s="368"/>
      <c r="C67" s="370" t="s">
        <v>20</v>
      </c>
      <c r="D67" s="365" t="s">
        <v>21</v>
      </c>
      <c r="E67" s="365" t="s">
        <v>22</v>
      </c>
      <c r="F67" s="365" t="s">
        <v>23</v>
      </c>
      <c r="G67" s="370" t="s">
        <v>49</v>
      </c>
      <c r="H67" s="372" t="s">
        <v>42</v>
      </c>
      <c r="I67" s="365" t="s">
        <v>25</v>
      </c>
      <c r="J67" s="309" t="s">
        <v>235</v>
      </c>
      <c r="K67" s="310"/>
      <c r="L67" s="310"/>
      <c r="M67" s="310"/>
      <c r="N67" s="310"/>
      <c r="O67" s="310"/>
      <c r="P67" s="310"/>
      <c r="Q67" s="310"/>
      <c r="R67" s="310"/>
      <c r="S67" s="310"/>
      <c r="T67" s="310"/>
      <c r="U67" s="310"/>
      <c r="V67" s="311"/>
      <c r="W67" s="312" t="s">
        <v>92</v>
      </c>
      <c r="X67" s="315" t="s">
        <v>24</v>
      </c>
      <c r="Y67" s="316"/>
      <c r="Z67" s="316"/>
      <c r="AA67" s="316"/>
      <c r="AB67" s="316"/>
      <c r="AC67" s="316"/>
      <c r="AD67" s="316"/>
      <c r="AE67" s="316"/>
      <c r="AF67" s="316"/>
      <c r="AG67" s="316"/>
      <c r="AH67" s="316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16"/>
      <c r="AT67" s="316"/>
      <c r="AU67" s="316"/>
      <c r="AV67" s="316"/>
      <c r="AW67" s="316"/>
      <c r="AX67" s="316"/>
      <c r="AY67" s="316"/>
      <c r="AZ67" s="316"/>
      <c r="BA67" s="316"/>
      <c r="BB67" s="316"/>
      <c r="BC67" s="316"/>
      <c r="BD67" s="316"/>
      <c r="BE67" s="316"/>
      <c r="BF67" s="316"/>
      <c r="BG67" s="316"/>
      <c r="BH67" s="316"/>
      <c r="BI67" s="316"/>
      <c r="BJ67" s="316"/>
      <c r="BK67" s="316"/>
      <c r="BL67" s="316"/>
      <c r="BM67" s="316"/>
      <c r="BN67" s="316"/>
      <c r="BO67" s="316"/>
      <c r="BP67" s="316"/>
      <c r="BQ67" s="316"/>
      <c r="BR67" s="316"/>
      <c r="BS67" s="316"/>
      <c r="BT67" s="317"/>
      <c r="BU67" s="318" t="s">
        <v>327</v>
      </c>
      <c r="BV67" s="374" t="s">
        <v>328</v>
      </c>
      <c r="BW67" s="233"/>
      <c r="BX67" s="347" t="s">
        <v>299</v>
      </c>
      <c r="BY67" s="347" t="s">
        <v>319</v>
      </c>
      <c r="BZ67" s="350" t="s">
        <v>91</v>
      </c>
      <c r="CA67" s="353" t="s">
        <v>90</v>
      </c>
      <c r="CB67" s="297" t="s">
        <v>51</v>
      </c>
      <c r="CC67" s="306" t="s">
        <v>266</v>
      </c>
      <c r="CD67" s="249"/>
    </row>
    <row r="68" spans="1:82" s="13" customFormat="1" ht="20.100000000000001" customHeight="1" x14ac:dyDescent="0.2">
      <c r="A68" s="366"/>
      <c r="B68" s="369"/>
      <c r="C68" s="371"/>
      <c r="D68" s="366"/>
      <c r="E68" s="366"/>
      <c r="F68" s="366"/>
      <c r="G68" s="371"/>
      <c r="H68" s="373"/>
      <c r="I68" s="366"/>
      <c r="J68" s="363" t="s">
        <v>236</v>
      </c>
      <c r="K68" s="329" t="s">
        <v>242</v>
      </c>
      <c r="L68" s="330"/>
      <c r="M68" s="331" t="s">
        <v>237</v>
      </c>
      <c r="N68" s="332"/>
      <c r="O68" s="333" t="s">
        <v>238</v>
      </c>
      <c r="P68" s="334"/>
      <c r="Q68" s="337" t="s">
        <v>244</v>
      </c>
      <c r="R68" s="338"/>
      <c r="S68" s="333" t="s">
        <v>245</v>
      </c>
      <c r="T68" s="334"/>
      <c r="U68" s="339" t="s">
        <v>333</v>
      </c>
      <c r="V68" s="327" t="s">
        <v>68</v>
      </c>
      <c r="W68" s="313"/>
      <c r="X68" s="341" t="s">
        <v>65</v>
      </c>
      <c r="Y68" s="342"/>
      <c r="Z68" s="342"/>
      <c r="AA68" s="342"/>
      <c r="AB68" s="342"/>
      <c r="AC68" s="342"/>
      <c r="AD68" s="343"/>
      <c r="AE68" s="344" t="s">
        <v>185</v>
      </c>
      <c r="AF68" s="345"/>
      <c r="AG68" s="345"/>
      <c r="AH68" s="345"/>
      <c r="AI68" s="345"/>
      <c r="AJ68" s="345"/>
      <c r="AK68" s="346"/>
      <c r="AL68" s="344" t="s">
        <v>184</v>
      </c>
      <c r="AM68" s="345"/>
      <c r="AN68" s="345"/>
      <c r="AO68" s="345"/>
      <c r="AP68" s="345"/>
      <c r="AQ68" s="345"/>
      <c r="AR68" s="346"/>
      <c r="AS68" s="344" t="s">
        <v>233</v>
      </c>
      <c r="AT68" s="345"/>
      <c r="AU68" s="345"/>
      <c r="AV68" s="345"/>
      <c r="AW68" s="345"/>
      <c r="AX68" s="345"/>
      <c r="AY68" s="346"/>
      <c r="AZ68" s="344" t="s">
        <v>234</v>
      </c>
      <c r="BA68" s="345"/>
      <c r="BB68" s="345"/>
      <c r="BC68" s="345"/>
      <c r="BD68" s="345"/>
      <c r="BE68" s="345"/>
      <c r="BF68" s="346"/>
      <c r="BG68" s="278"/>
      <c r="BH68" s="278"/>
      <c r="BI68" s="278"/>
      <c r="BJ68" s="278"/>
      <c r="BK68" s="278"/>
      <c r="BL68" s="278"/>
      <c r="BM68" s="278"/>
      <c r="BN68" s="344" t="s">
        <v>66</v>
      </c>
      <c r="BO68" s="345"/>
      <c r="BP68" s="345"/>
      <c r="BQ68" s="345"/>
      <c r="BR68" s="345"/>
      <c r="BS68" s="345"/>
      <c r="BT68" s="346"/>
      <c r="BU68" s="319"/>
      <c r="BV68" s="349"/>
      <c r="BW68" s="234"/>
      <c r="BX68" s="348"/>
      <c r="BY68" s="348"/>
      <c r="BZ68" s="351"/>
      <c r="CA68" s="354"/>
      <c r="CB68" s="298"/>
      <c r="CC68" s="307"/>
    </row>
    <row r="69" spans="1:82" s="13" customFormat="1" ht="48.75" customHeight="1" x14ac:dyDescent="0.2">
      <c r="A69" s="367"/>
      <c r="B69" s="366"/>
      <c r="C69" s="367"/>
      <c r="D69" s="367"/>
      <c r="E69" s="367"/>
      <c r="F69" s="367"/>
      <c r="G69" s="367"/>
      <c r="H69" s="366"/>
      <c r="I69" s="367"/>
      <c r="J69" s="364"/>
      <c r="K69" s="90" t="s">
        <v>239</v>
      </c>
      <c r="L69" s="90" t="s">
        <v>240</v>
      </c>
      <c r="M69" s="93" t="s">
        <v>239</v>
      </c>
      <c r="N69" s="93" t="s">
        <v>240</v>
      </c>
      <c r="O69" s="97" t="s">
        <v>239</v>
      </c>
      <c r="P69" s="97" t="s">
        <v>240</v>
      </c>
      <c r="Q69" s="102" t="s">
        <v>239</v>
      </c>
      <c r="R69" s="102" t="s">
        <v>240</v>
      </c>
      <c r="S69" s="97" t="s">
        <v>239</v>
      </c>
      <c r="T69" s="97" t="s">
        <v>240</v>
      </c>
      <c r="U69" s="340"/>
      <c r="V69" s="328"/>
      <c r="W69" s="314"/>
      <c r="X69" s="23" t="s">
        <v>73</v>
      </c>
      <c r="Y69" s="24" t="s">
        <v>67</v>
      </c>
      <c r="Z69" s="52" t="s">
        <v>147</v>
      </c>
      <c r="AA69" s="23" t="s">
        <v>92</v>
      </c>
      <c r="AB69" s="23" t="s">
        <v>72</v>
      </c>
      <c r="AC69" s="24" t="s">
        <v>69</v>
      </c>
      <c r="AD69" s="24" t="s">
        <v>148</v>
      </c>
      <c r="AE69" s="25" t="s">
        <v>70</v>
      </c>
      <c r="AF69" s="26" t="s">
        <v>71</v>
      </c>
      <c r="AG69" s="26" t="s">
        <v>147</v>
      </c>
      <c r="AH69" s="25" t="s">
        <v>92</v>
      </c>
      <c r="AI69" s="25" t="s">
        <v>72</v>
      </c>
      <c r="AJ69" s="26" t="s">
        <v>69</v>
      </c>
      <c r="AK69" s="26" t="s">
        <v>148</v>
      </c>
      <c r="AL69" s="25" t="s">
        <v>70</v>
      </c>
      <c r="AM69" s="26" t="s">
        <v>71</v>
      </c>
      <c r="AN69" s="26" t="s">
        <v>147</v>
      </c>
      <c r="AO69" s="25" t="s">
        <v>92</v>
      </c>
      <c r="AP69" s="25" t="s">
        <v>72</v>
      </c>
      <c r="AQ69" s="26" t="s">
        <v>69</v>
      </c>
      <c r="AR69" s="26" t="s">
        <v>148</v>
      </c>
      <c r="AS69" s="25" t="s">
        <v>70</v>
      </c>
      <c r="AT69" s="26" t="s">
        <v>71</v>
      </c>
      <c r="AU69" s="26" t="s">
        <v>147</v>
      </c>
      <c r="AV69" s="25" t="s">
        <v>92</v>
      </c>
      <c r="AW69" s="25" t="s">
        <v>72</v>
      </c>
      <c r="AX69" s="26" t="s">
        <v>69</v>
      </c>
      <c r="AY69" s="26" t="s">
        <v>148</v>
      </c>
      <c r="AZ69" s="25" t="s">
        <v>70</v>
      </c>
      <c r="BA69" s="26" t="s">
        <v>71</v>
      </c>
      <c r="BB69" s="26" t="s">
        <v>147</v>
      </c>
      <c r="BC69" s="25" t="s">
        <v>92</v>
      </c>
      <c r="BD69" s="25" t="s">
        <v>72</v>
      </c>
      <c r="BE69" s="26" t="s">
        <v>69</v>
      </c>
      <c r="BF69" s="26" t="s">
        <v>148</v>
      </c>
      <c r="BG69" s="26"/>
      <c r="BH69" s="26"/>
      <c r="BI69" s="26"/>
      <c r="BJ69" s="26"/>
      <c r="BK69" s="26"/>
      <c r="BL69" s="26"/>
      <c r="BM69" s="26"/>
      <c r="BN69" s="25" t="s">
        <v>70</v>
      </c>
      <c r="BO69" s="26" t="s">
        <v>71</v>
      </c>
      <c r="BP69" s="25" t="s">
        <v>147</v>
      </c>
      <c r="BQ69" s="25" t="s">
        <v>92</v>
      </c>
      <c r="BR69" s="25" t="s">
        <v>72</v>
      </c>
      <c r="BS69" s="26" t="s">
        <v>69</v>
      </c>
      <c r="BT69" s="25" t="s">
        <v>148</v>
      </c>
      <c r="BU69" s="320"/>
      <c r="BV69" s="375"/>
      <c r="BW69" s="235"/>
      <c r="BX69" s="349"/>
      <c r="BY69" s="349"/>
      <c r="BZ69" s="352"/>
      <c r="CA69" s="355"/>
      <c r="CB69" s="299"/>
      <c r="CC69" s="308"/>
    </row>
    <row r="70" spans="1:82" s="113" customFormat="1" ht="40.5" customHeight="1" x14ac:dyDescent="0.2">
      <c r="A70" s="186">
        <v>1</v>
      </c>
      <c r="B70" s="186"/>
      <c r="C70" s="16" t="s">
        <v>1</v>
      </c>
      <c r="D70" s="186" t="s">
        <v>2</v>
      </c>
      <c r="E70" s="186"/>
      <c r="F70" s="186"/>
      <c r="G70" s="46"/>
      <c r="H70" s="46"/>
      <c r="I70" s="187"/>
      <c r="J70" s="188">
        <f t="shared" ref="J70:BS70" si="63">J9+J11+J25+J33+J34+J35+J36+J43+J47+J48+J51+J56+J58+J61</f>
        <v>1811809</v>
      </c>
      <c r="K70" s="188">
        <f t="shared" si="63"/>
        <v>206860</v>
      </c>
      <c r="L70" s="188">
        <f t="shared" si="63"/>
        <v>1251435</v>
      </c>
      <c r="M70" s="188">
        <f t="shared" si="63"/>
        <v>79659</v>
      </c>
      <c r="N70" s="188">
        <f t="shared" si="63"/>
        <v>817835</v>
      </c>
      <c r="O70" s="188">
        <f t="shared" si="63"/>
        <v>0</v>
      </c>
      <c r="P70" s="188">
        <f t="shared" si="63"/>
        <v>0</v>
      </c>
      <c r="Q70" s="188">
        <f t="shared" si="63"/>
        <v>0</v>
      </c>
      <c r="R70" s="188">
        <f t="shared" si="63"/>
        <v>0</v>
      </c>
      <c r="S70" s="188">
        <f t="shared" si="63"/>
        <v>0</v>
      </c>
      <c r="T70" s="188">
        <f t="shared" si="63"/>
        <v>0</v>
      </c>
      <c r="U70" s="188">
        <f t="shared" si="63"/>
        <v>2098328</v>
      </c>
      <c r="V70" s="188">
        <f t="shared" si="63"/>
        <v>109269959.49999999</v>
      </c>
      <c r="W70" s="188">
        <f t="shared" si="63"/>
        <v>1026.4791395345019</v>
      </c>
      <c r="X70" s="188">
        <f t="shared" si="63"/>
        <v>606113.09090909094</v>
      </c>
      <c r="Y70" s="188">
        <f t="shared" si="63"/>
        <v>41198652</v>
      </c>
      <c r="Z70" s="188"/>
      <c r="AA70" s="188">
        <f t="shared" si="63"/>
        <v>1038.7501522589216</v>
      </c>
      <c r="AB70" s="188">
        <f t="shared" si="63"/>
        <v>30610.109090909093</v>
      </c>
      <c r="AC70" s="188">
        <f t="shared" si="63"/>
        <v>470923356.23636365</v>
      </c>
      <c r="AD70" s="188"/>
      <c r="AE70" s="188">
        <f t="shared" si="63"/>
        <v>578840.35818181816</v>
      </c>
      <c r="AF70" s="188">
        <f t="shared" si="63"/>
        <v>43048697</v>
      </c>
      <c r="AG70" s="188"/>
      <c r="AH70" s="188">
        <f t="shared" si="63"/>
        <v>1175.0319948452407</v>
      </c>
      <c r="AI70" s="188">
        <f t="shared" si="63"/>
        <v>57884.035818181816</v>
      </c>
      <c r="AJ70" s="188">
        <f t="shared" si="63"/>
        <v>1039705217.6629092</v>
      </c>
      <c r="AK70" s="188"/>
      <c r="AL70" s="188">
        <f t="shared" si="63"/>
        <v>337164.90909090906</v>
      </c>
      <c r="AM70" s="188">
        <f t="shared" si="63"/>
        <v>23762211</v>
      </c>
      <c r="AN70" s="188"/>
      <c r="AO70" s="188">
        <f t="shared" si="63"/>
        <v>809.17870383781349</v>
      </c>
      <c r="AP70" s="188">
        <f t="shared" si="63"/>
        <v>33716.490909090913</v>
      </c>
      <c r="AQ70" s="188">
        <f t="shared" si="63"/>
        <v>499426105.20000005</v>
      </c>
      <c r="AR70" s="188"/>
      <c r="AS70" s="188">
        <f t="shared" si="63"/>
        <v>47967.272727272728</v>
      </c>
      <c r="AT70" s="188">
        <f t="shared" si="63"/>
        <v>778774</v>
      </c>
      <c r="AU70" s="188"/>
      <c r="AV70" s="188">
        <f t="shared" si="63"/>
        <v>97.746622546782291</v>
      </c>
      <c r="AW70" s="188">
        <f t="shared" si="63"/>
        <v>4796.727272727273</v>
      </c>
      <c r="AX70" s="188">
        <f t="shared" si="63"/>
        <v>16759954.90909091</v>
      </c>
      <c r="AY70" s="188"/>
      <c r="AZ70" s="188">
        <f t="shared" si="63"/>
        <v>83661.818181818177</v>
      </c>
      <c r="BA70" s="188">
        <f t="shared" si="63"/>
        <v>2423444</v>
      </c>
      <c r="BB70" s="188"/>
      <c r="BC70" s="188">
        <f t="shared" si="63"/>
        <v>102.42002458890427</v>
      </c>
      <c r="BD70" s="188">
        <f t="shared" si="63"/>
        <v>8366.181818181818</v>
      </c>
      <c r="BE70" s="188">
        <f t="shared" si="63"/>
        <v>49775000.727272727</v>
      </c>
      <c r="BF70" s="188"/>
      <c r="BG70" s="188"/>
      <c r="BH70" s="188"/>
      <c r="BI70" s="188"/>
      <c r="BJ70" s="188"/>
      <c r="BK70" s="188"/>
      <c r="BL70" s="188"/>
      <c r="BM70" s="188"/>
      <c r="BN70" s="188">
        <f t="shared" si="63"/>
        <v>108615.45818181818</v>
      </c>
      <c r="BO70" s="188">
        <f t="shared" si="63"/>
        <v>11369637</v>
      </c>
      <c r="BP70" s="188"/>
      <c r="BQ70" s="188">
        <f t="shared" si="63"/>
        <v>684.59628193040191</v>
      </c>
      <c r="BR70" s="188">
        <f t="shared" si="63"/>
        <v>10861.546818181818</v>
      </c>
      <c r="BS70" s="188">
        <f t="shared" si="63"/>
        <v>223103415</v>
      </c>
      <c r="BT70" s="188"/>
      <c r="BU70" s="188">
        <f>BU9+BU11+BU25+BU33+BU34+BU35+BU36+BU43+BU47+BU48+BU51+BU56+BU58+BU61</f>
        <v>1908597.9990000001</v>
      </c>
      <c r="BV70" s="188">
        <f>BV9+BV11+BV25+BV33+BV34+BV35+BV36+BV43+BV47+BV48+BV51+BV56+BV58+BV61</f>
        <v>189730.00099999999</v>
      </c>
      <c r="BW70" s="242"/>
      <c r="BX70" s="200"/>
      <c r="BY70" s="203" t="s">
        <v>335</v>
      </c>
      <c r="BZ70" s="180"/>
      <c r="CA70" s="181"/>
    </row>
    <row r="71" spans="1:82" ht="41.25" customHeight="1" x14ac:dyDescent="0.2">
      <c r="A71" s="186">
        <v>2</v>
      </c>
      <c r="B71" s="189"/>
      <c r="C71" s="16" t="s">
        <v>74</v>
      </c>
      <c r="D71" s="190" t="s">
        <v>9</v>
      </c>
      <c r="E71" s="190"/>
      <c r="F71" s="190"/>
      <c r="G71" s="191"/>
      <c r="H71" s="191"/>
      <c r="I71" s="192"/>
      <c r="J71" s="188">
        <f t="shared" ref="J71:BU71" si="64">J12+J13+J14+J23+J29+J32</f>
        <v>424566</v>
      </c>
      <c r="K71" s="188">
        <f t="shared" si="64"/>
        <v>103641.9</v>
      </c>
      <c r="L71" s="188">
        <f t="shared" si="64"/>
        <v>318139.90000000002</v>
      </c>
      <c r="M71" s="188">
        <f t="shared" si="64"/>
        <v>226828</v>
      </c>
      <c r="N71" s="188">
        <f t="shared" si="64"/>
        <v>542703.9</v>
      </c>
      <c r="O71" s="188">
        <f t="shared" si="64"/>
        <v>0</v>
      </c>
      <c r="P71" s="188">
        <f t="shared" si="64"/>
        <v>0</v>
      </c>
      <c r="Q71" s="188">
        <f t="shared" si="64"/>
        <v>0</v>
      </c>
      <c r="R71" s="188">
        <f t="shared" si="64"/>
        <v>0</v>
      </c>
      <c r="S71" s="188">
        <f t="shared" si="64"/>
        <v>0</v>
      </c>
      <c r="T71" s="188">
        <f t="shared" si="64"/>
        <v>0</v>
      </c>
      <c r="U71" s="188">
        <f t="shared" si="64"/>
        <v>755035.9</v>
      </c>
      <c r="V71" s="188">
        <f t="shared" si="64"/>
        <v>66317186.900000006</v>
      </c>
      <c r="W71" s="188">
        <f t="shared" si="64"/>
        <v>363.4386998918792</v>
      </c>
      <c r="X71" s="188">
        <f t="shared" si="64"/>
        <v>173134.90272727274</v>
      </c>
      <c r="Y71" s="188">
        <f t="shared" si="64"/>
        <v>13817418</v>
      </c>
      <c r="Z71" s="188"/>
      <c r="AA71" s="188">
        <f t="shared" si="64"/>
        <v>410.96987978222148</v>
      </c>
      <c r="AB71" s="188">
        <f t="shared" si="64"/>
        <v>12253.490272727275</v>
      </c>
      <c r="AC71" s="188">
        <f t="shared" si="64"/>
        <v>255524836.44036365</v>
      </c>
      <c r="AD71" s="188"/>
      <c r="AE71" s="188">
        <f t="shared" si="64"/>
        <v>126260.28909090909</v>
      </c>
      <c r="AF71" s="188">
        <f t="shared" si="64"/>
        <v>9986540.6145454533</v>
      </c>
      <c r="AG71" s="188"/>
      <c r="AH71" s="188" t="e">
        <f>AH12+AH13+AH14+AH23+AH29+AH32</f>
        <v>#VALUE!</v>
      </c>
      <c r="AI71" s="188">
        <f t="shared" si="64"/>
        <v>12626.00890909091</v>
      </c>
      <c r="AJ71" s="188">
        <f t="shared" si="64"/>
        <v>306190710.99490911</v>
      </c>
      <c r="AK71" s="188"/>
      <c r="AL71" s="188">
        <f t="shared" si="64"/>
        <v>93750.548181818172</v>
      </c>
      <c r="AM71" s="188">
        <f t="shared" si="64"/>
        <v>9299234.6072727274</v>
      </c>
      <c r="AN71" s="188"/>
      <c r="AO71" s="188">
        <f t="shared" si="64"/>
        <v>297.61006639977023</v>
      </c>
      <c r="AP71" s="188">
        <f t="shared" si="64"/>
        <v>9375.0548181818194</v>
      </c>
      <c r="AQ71" s="188">
        <f t="shared" si="64"/>
        <v>196562129.13927272</v>
      </c>
      <c r="AR71" s="188"/>
      <c r="AS71" s="188">
        <f t="shared" si="64"/>
        <v>66297.64</v>
      </c>
      <c r="AT71" s="188">
        <f t="shared" si="64"/>
        <v>6618450</v>
      </c>
      <c r="AU71" s="188"/>
      <c r="AV71" s="188">
        <f t="shared" si="64"/>
        <v>200.33834669730436</v>
      </c>
      <c r="AW71" s="188">
        <f t="shared" si="64"/>
        <v>6629.7640000000001</v>
      </c>
      <c r="AX71" s="188">
        <f t="shared" si="64"/>
        <v>138670119.792</v>
      </c>
      <c r="AY71" s="188"/>
      <c r="AZ71" s="188">
        <f t="shared" si="64"/>
        <v>134853.63636363635</v>
      </c>
      <c r="BA71" s="188">
        <f t="shared" si="64"/>
        <v>13738218</v>
      </c>
      <c r="BB71" s="188"/>
      <c r="BC71" s="188">
        <f t="shared" si="64"/>
        <v>204.08001477280851</v>
      </c>
      <c r="BD71" s="188">
        <f t="shared" si="64"/>
        <v>13485.363636363634</v>
      </c>
      <c r="BE71" s="188">
        <f t="shared" si="64"/>
        <v>285708809.45454544</v>
      </c>
      <c r="BF71" s="188"/>
      <c r="BG71" s="188"/>
      <c r="BH71" s="188"/>
      <c r="BI71" s="188"/>
      <c r="BJ71" s="188"/>
      <c r="BK71" s="188"/>
      <c r="BL71" s="188"/>
      <c r="BM71" s="188"/>
      <c r="BN71" s="188">
        <f t="shared" si="64"/>
        <v>0</v>
      </c>
      <c r="BO71" s="188">
        <f t="shared" si="64"/>
        <v>0</v>
      </c>
      <c r="BP71" s="188"/>
      <c r="BQ71" s="188">
        <f t="shared" si="64"/>
        <v>0</v>
      </c>
      <c r="BR71" s="188">
        <f t="shared" si="64"/>
        <v>0</v>
      </c>
      <c r="BS71" s="188">
        <f t="shared" si="64"/>
        <v>0</v>
      </c>
      <c r="BT71" s="188"/>
      <c r="BU71" s="188">
        <f t="shared" si="64"/>
        <v>701851.29799999995</v>
      </c>
      <c r="BV71" s="188">
        <f>BV12+BV13+BV14+BV23+BV29+BV32</f>
        <v>53184.601999999984</v>
      </c>
      <c r="BW71" s="242"/>
      <c r="BX71" s="193"/>
      <c r="BY71" s="203" t="s">
        <v>336</v>
      </c>
    </row>
    <row r="72" spans="1:82" ht="33.75" customHeight="1" x14ac:dyDescent="0.2">
      <c r="A72" s="186">
        <v>3</v>
      </c>
      <c r="B72" s="189"/>
      <c r="C72" s="191" t="s">
        <v>155</v>
      </c>
      <c r="D72" s="190"/>
      <c r="E72" s="190"/>
      <c r="F72" s="190"/>
      <c r="G72" s="191"/>
      <c r="H72" s="191"/>
      <c r="I72" s="192"/>
      <c r="J72" s="194">
        <f t="shared" ref="J72:BV72" si="65">J37+J39</f>
        <v>58005</v>
      </c>
      <c r="K72" s="194">
        <f t="shared" si="65"/>
        <v>14645.800000000003</v>
      </c>
      <c r="L72" s="194">
        <f t="shared" si="65"/>
        <v>72650.8</v>
      </c>
      <c r="M72" s="194">
        <f t="shared" si="65"/>
        <v>0</v>
      </c>
      <c r="N72" s="194">
        <f t="shared" si="65"/>
        <v>0</v>
      </c>
      <c r="O72" s="194">
        <f t="shared" si="65"/>
        <v>0</v>
      </c>
      <c r="P72" s="194">
        <f t="shared" si="65"/>
        <v>0</v>
      </c>
      <c r="Q72" s="194">
        <f t="shared" si="65"/>
        <v>0</v>
      </c>
      <c r="R72" s="194">
        <f t="shared" si="65"/>
        <v>0</v>
      </c>
      <c r="S72" s="194">
        <f t="shared" si="65"/>
        <v>0</v>
      </c>
      <c r="T72" s="194">
        <f t="shared" si="65"/>
        <v>0</v>
      </c>
      <c r="U72" s="194">
        <f t="shared" si="65"/>
        <v>72650.8</v>
      </c>
      <c r="V72" s="194">
        <f t="shared" si="65"/>
        <v>6586944.1000000006</v>
      </c>
      <c r="W72" s="194">
        <f t="shared" si="65"/>
        <v>239.32462289636234</v>
      </c>
      <c r="X72" s="194">
        <f t="shared" si="65"/>
        <v>21092.727272727272</v>
      </c>
      <c r="Y72" s="194">
        <f t="shared" si="65"/>
        <v>1657846</v>
      </c>
      <c r="Z72" s="194"/>
      <c r="AA72" s="194">
        <f t="shared" si="65"/>
        <v>157.19527277088378</v>
      </c>
      <c r="AB72" s="194">
        <f t="shared" si="65"/>
        <v>2109.2727272727275</v>
      </c>
      <c r="AC72" s="194">
        <f t="shared" si="65"/>
        <v>43931932.363636367</v>
      </c>
      <c r="AD72" s="194"/>
      <c r="AE72" s="194">
        <f t="shared" si="65"/>
        <v>21092.73</v>
      </c>
      <c r="AF72" s="194">
        <f t="shared" si="65"/>
        <v>2094661</v>
      </c>
      <c r="AG72" s="194"/>
      <c r="AH72" s="194">
        <f t="shared" si="65"/>
        <v>199.09924997088504</v>
      </c>
      <c r="AI72" s="194">
        <f t="shared" si="65"/>
        <v>2109.2730000000001</v>
      </c>
      <c r="AJ72" s="194">
        <f t="shared" si="65"/>
        <v>43931938.044</v>
      </c>
      <c r="AK72" s="194"/>
      <c r="AL72" s="194">
        <f t="shared" si="65"/>
        <v>5055.7272727272721</v>
      </c>
      <c r="AM72" s="194">
        <f t="shared" si="65"/>
        <v>494197</v>
      </c>
      <c r="AN72" s="194"/>
      <c r="AO72" s="194">
        <f t="shared" si="65"/>
        <v>195.49986153916925</v>
      </c>
      <c r="AP72" s="194">
        <f t="shared" si="65"/>
        <v>505.57272727272726</v>
      </c>
      <c r="AQ72" s="194">
        <f t="shared" si="65"/>
        <v>10635227.890909091</v>
      </c>
      <c r="AR72" s="194"/>
      <c r="AS72" s="194">
        <f t="shared" si="65"/>
        <v>9402.5</v>
      </c>
      <c r="AT72" s="194">
        <f t="shared" si="65"/>
        <v>963004</v>
      </c>
      <c r="AU72" s="194"/>
      <c r="AV72" s="194">
        <f t="shared" si="65"/>
        <v>102.41999468226535</v>
      </c>
      <c r="AW72" s="194">
        <f t="shared" si="65"/>
        <v>940.25</v>
      </c>
      <c r="AX72" s="194">
        <f t="shared" si="65"/>
        <v>19779099</v>
      </c>
      <c r="AY72" s="194"/>
      <c r="AZ72" s="194">
        <f t="shared" si="65"/>
        <v>9402.5</v>
      </c>
      <c r="BA72" s="194">
        <f t="shared" si="65"/>
        <v>987733</v>
      </c>
      <c r="BB72" s="194"/>
      <c r="BC72" s="194">
        <f t="shared" si="65"/>
        <v>105.05003988300984</v>
      </c>
      <c r="BD72" s="194">
        <f t="shared" si="65"/>
        <v>940.25</v>
      </c>
      <c r="BE72" s="194">
        <f t="shared" si="65"/>
        <v>19779099</v>
      </c>
      <c r="BF72" s="194"/>
      <c r="BG72" s="194"/>
      <c r="BH72" s="194"/>
      <c r="BI72" s="194"/>
      <c r="BJ72" s="194"/>
      <c r="BK72" s="194"/>
      <c r="BL72" s="194"/>
      <c r="BM72" s="194"/>
      <c r="BN72" s="194">
        <f t="shared" si="65"/>
        <v>0</v>
      </c>
      <c r="BO72" s="194">
        <f t="shared" si="65"/>
        <v>0</v>
      </c>
      <c r="BP72" s="194"/>
      <c r="BQ72" s="194">
        <f t="shared" si="65"/>
        <v>0</v>
      </c>
      <c r="BR72" s="194">
        <f t="shared" si="65"/>
        <v>0</v>
      </c>
      <c r="BS72" s="194">
        <f t="shared" si="65"/>
        <v>0</v>
      </c>
      <c r="BT72" s="194"/>
      <c r="BU72" s="194">
        <f t="shared" si="65"/>
        <v>72650.803</v>
      </c>
      <c r="BV72" s="194">
        <f t="shared" si="65"/>
        <v>-2.9999999969732016E-3</v>
      </c>
      <c r="BW72" s="243"/>
      <c r="BX72" s="201" t="s">
        <v>395</v>
      </c>
      <c r="BY72" s="201"/>
    </row>
    <row r="73" spans="1:82" ht="20.100000000000001" customHeight="1" x14ac:dyDescent="0.2">
      <c r="A73" s="186">
        <v>4</v>
      </c>
      <c r="B73" s="189"/>
      <c r="C73" s="191" t="s">
        <v>15</v>
      </c>
      <c r="D73" s="190"/>
      <c r="E73" s="190"/>
      <c r="F73" s="190"/>
      <c r="G73" s="191"/>
      <c r="H73" s="191"/>
      <c r="I73" s="192"/>
      <c r="J73" s="194">
        <f t="shared" ref="J73:BV73" si="66">J26</f>
        <v>25025</v>
      </c>
      <c r="K73" s="194">
        <f t="shared" si="66"/>
        <v>0</v>
      </c>
      <c r="L73" s="194">
        <f t="shared" si="66"/>
        <v>0</v>
      </c>
      <c r="M73" s="194">
        <f t="shared" si="66"/>
        <v>0</v>
      </c>
      <c r="N73" s="194">
        <f t="shared" si="66"/>
        <v>0</v>
      </c>
      <c r="O73" s="194">
        <f t="shared" si="66"/>
        <v>0</v>
      </c>
      <c r="P73" s="194">
        <f t="shared" si="66"/>
        <v>0</v>
      </c>
      <c r="Q73" s="194">
        <f t="shared" si="66"/>
        <v>0</v>
      </c>
      <c r="R73" s="194">
        <f t="shared" si="66"/>
        <v>0</v>
      </c>
      <c r="S73" s="194">
        <f t="shared" si="66"/>
        <v>0</v>
      </c>
      <c r="T73" s="194">
        <f t="shared" si="66"/>
        <v>0</v>
      </c>
      <c r="U73" s="194">
        <f t="shared" si="66"/>
        <v>25025</v>
      </c>
      <c r="V73" s="194">
        <f t="shared" si="66"/>
        <v>0</v>
      </c>
      <c r="W73" s="194">
        <f t="shared" si="66"/>
        <v>0</v>
      </c>
      <c r="X73" s="194">
        <f t="shared" si="66"/>
        <v>10010</v>
      </c>
      <c r="Y73" s="194">
        <f t="shared" si="66"/>
        <v>0</v>
      </c>
      <c r="Z73" s="194"/>
      <c r="AA73" s="194">
        <f t="shared" si="66"/>
        <v>0</v>
      </c>
      <c r="AB73" s="194">
        <f t="shared" si="66"/>
        <v>0</v>
      </c>
      <c r="AC73" s="194">
        <f t="shared" si="66"/>
        <v>0</v>
      </c>
      <c r="AD73" s="194"/>
      <c r="AE73" s="194">
        <f t="shared" si="66"/>
        <v>10010</v>
      </c>
      <c r="AF73" s="194">
        <f t="shared" si="66"/>
        <v>0</v>
      </c>
      <c r="AG73" s="194"/>
      <c r="AH73" s="194">
        <f t="shared" si="66"/>
        <v>0</v>
      </c>
      <c r="AI73" s="194">
        <f t="shared" si="66"/>
        <v>0</v>
      </c>
      <c r="AJ73" s="194">
        <f t="shared" si="66"/>
        <v>0</v>
      </c>
      <c r="AK73" s="194"/>
      <c r="AL73" s="194">
        <f t="shared" si="66"/>
        <v>0</v>
      </c>
      <c r="AM73" s="194">
        <f t="shared" si="66"/>
        <v>0</v>
      </c>
      <c r="AN73" s="194"/>
      <c r="AO73" s="194">
        <f t="shared" si="66"/>
        <v>0</v>
      </c>
      <c r="AP73" s="194">
        <f t="shared" si="66"/>
        <v>0</v>
      </c>
      <c r="AQ73" s="194">
        <f t="shared" si="66"/>
        <v>0</v>
      </c>
      <c r="AR73" s="194"/>
      <c r="AS73" s="194">
        <f t="shared" si="66"/>
        <v>0</v>
      </c>
      <c r="AT73" s="194">
        <f t="shared" si="66"/>
        <v>0</v>
      </c>
      <c r="AU73" s="194"/>
      <c r="AV73" s="194">
        <f t="shared" si="66"/>
        <v>0</v>
      </c>
      <c r="AW73" s="194">
        <f t="shared" si="66"/>
        <v>0</v>
      </c>
      <c r="AX73" s="194">
        <f t="shared" si="66"/>
        <v>0</v>
      </c>
      <c r="AY73" s="194"/>
      <c r="AZ73" s="194">
        <f t="shared" si="66"/>
        <v>0</v>
      </c>
      <c r="BA73" s="194">
        <f t="shared" si="66"/>
        <v>0</v>
      </c>
      <c r="BB73" s="194"/>
      <c r="BC73" s="194">
        <f t="shared" si="66"/>
        <v>0</v>
      </c>
      <c r="BD73" s="194">
        <f t="shared" si="66"/>
        <v>0</v>
      </c>
      <c r="BE73" s="194">
        <f t="shared" si="66"/>
        <v>0</v>
      </c>
      <c r="BF73" s="194"/>
      <c r="BG73" s="194"/>
      <c r="BH73" s="194"/>
      <c r="BI73" s="194"/>
      <c r="BJ73" s="194"/>
      <c r="BK73" s="194"/>
      <c r="BL73" s="194"/>
      <c r="BM73" s="194"/>
      <c r="BN73" s="194">
        <f t="shared" si="66"/>
        <v>5005</v>
      </c>
      <c r="BO73" s="194">
        <f t="shared" si="66"/>
        <v>0</v>
      </c>
      <c r="BP73" s="194"/>
      <c r="BQ73" s="194">
        <f t="shared" si="66"/>
        <v>0</v>
      </c>
      <c r="BR73" s="194">
        <f t="shared" si="66"/>
        <v>0</v>
      </c>
      <c r="BS73" s="194">
        <f t="shared" si="66"/>
        <v>0</v>
      </c>
      <c r="BT73" s="194"/>
      <c r="BU73" s="194">
        <f t="shared" si="66"/>
        <v>25025</v>
      </c>
      <c r="BV73" s="194">
        <f t="shared" si="66"/>
        <v>0</v>
      </c>
      <c r="BW73" s="243"/>
      <c r="BX73" s="201" t="s">
        <v>395</v>
      </c>
      <c r="BY73" s="193"/>
    </row>
    <row r="74" spans="1:82" ht="20.100000000000001" customHeight="1" x14ac:dyDescent="0.2">
      <c r="A74" s="186">
        <v>5</v>
      </c>
      <c r="B74" s="189"/>
      <c r="C74" s="191" t="s">
        <v>11</v>
      </c>
      <c r="D74" s="190"/>
      <c r="E74" s="190"/>
      <c r="F74" s="190"/>
      <c r="G74" s="191"/>
      <c r="H74" s="191"/>
      <c r="I74" s="192"/>
      <c r="J74" s="194">
        <f t="shared" ref="J74:BV74" si="67">J18+J19+J20+J21+J22</f>
        <v>59400</v>
      </c>
      <c r="K74" s="194">
        <f t="shared" si="67"/>
        <v>3300</v>
      </c>
      <c r="L74" s="194">
        <f t="shared" si="67"/>
        <v>62700</v>
      </c>
      <c r="M74" s="194">
        <f>M18+M19+M20+M21+M22</f>
        <v>0</v>
      </c>
      <c r="N74" s="194">
        <f>N18+N19+N20+N21+N22</f>
        <v>0</v>
      </c>
      <c r="O74" s="194">
        <f>O18+O19+O20+O21+O22</f>
        <v>22803</v>
      </c>
      <c r="P74" s="194">
        <f t="shared" si="67"/>
        <v>85503</v>
      </c>
      <c r="Q74" s="194">
        <f t="shared" si="67"/>
        <v>5938.9</v>
      </c>
      <c r="R74" s="194">
        <f t="shared" si="67"/>
        <v>91441.9</v>
      </c>
      <c r="S74" s="194">
        <f t="shared" si="67"/>
        <v>4268.29</v>
      </c>
      <c r="T74" s="194">
        <f t="shared" si="67"/>
        <v>95710.189999999988</v>
      </c>
      <c r="U74" s="194">
        <f t="shared" si="67"/>
        <v>95710.189999999988</v>
      </c>
      <c r="V74" s="194">
        <f t="shared" si="67"/>
        <v>6845909</v>
      </c>
      <c r="W74" s="194">
        <f t="shared" si="67"/>
        <v>267.55733064486753</v>
      </c>
      <c r="X74" s="194">
        <f t="shared" si="67"/>
        <v>50601.570909090908</v>
      </c>
      <c r="Y74" s="194">
        <f t="shared" si="67"/>
        <v>3605928</v>
      </c>
      <c r="Z74" s="194"/>
      <c r="AA74" s="194">
        <f t="shared" si="67"/>
        <v>243.3396144811361</v>
      </c>
      <c r="AB74" s="194">
        <f t="shared" si="67"/>
        <v>2684.1570909090906</v>
      </c>
      <c r="AC74" s="194">
        <f t="shared" si="67"/>
        <v>55905623.889454544</v>
      </c>
      <c r="AD74" s="194"/>
      <c r="AE74" s="194">
        <f t="shared" si="67"/>
        <v>23760</v>
      </c>
      <c r="AF74" s="194">
        <f t="shared" si="67"/>
        <v>1955532</v>
      </c>
      <c r="AG74" s="194"/>
      <c r="AH74" s="194">
        <f t="shared" si="67"/>
        <v>82.303535353535352</v>
      </c>
      <c r="AI74" s="194">
        <f t="shared" si="67"/>
        <v>0</v>
      </c>
      <c r="AJ74" s="194">
        <f t="shared" si="67"/>
        <v>0</v>
      </c>
      <c r="AK74" s="194"/>
      <c r="AL74" s="194">
        <f t="shared" si="67"/>
        <v>0</v>
      </c>
      <c r="AM74" s="194">
        <f t="shared" si="67"/>
        <v>0</v>
      </c>
      <c r="AN74" s="194"/>
      <c r="AO74" s="194">
        <f t="shared" si="67"/>
        <v>0</v>
      </c>
      <c r="AP74" s="194">
        <f t="shared" si="67"/>
        <v>0</v>
      </c>
      <c r="AQ74" s="194">
        <f t="shared" si="67"/>
        <v>0</v>
      </c>
      <c r="AR74" s="194"/>
      <c r="AS74" s="194">
        <f t="shared" si="67"/>
        <v>0</v>
      </c>
      <c r="AT74" s="194">
        <f t="shared" si="67"/>
        <v>0</v>
      </c>
      <c r="AU74" s="194"/>
      <c r="AV74" s="194">
        <f t="shared" si="67"/>
        <v>0</v>
      </c>
      <c r="AW74" s="194">
        <f t="shared" si="67"/>
        <v>0</v>
      </c>
      <c r="AX74" s="194">
        <f t="shared" si="67"/>
        <v>0</v>
      </c>
      <c r="AY74" s="194"/>
      <c r="AZ74" s="194">
        <f t="shared" si="67"/>
        <v>0</v>
      </c>
      <c r="BA74" s="194">
        <f t="shared" si="67"/>
        <v>0</v>
      </c>
      <c r="BB74" s="194"/>
      <c r="BC74" s="194">
        <f t="shared" si="67"/>
        <v>0</v>
      </c>
      <c r="BD74" s="194">
        <f t="shared" si="67"/>
        <v>0</v>
      </c>
      <c r="BE74" s="194">
        <f t="shared" si="67"/>
        <v>0</v>
      </c>
      <c r="BF74" s="194"/>
      <c r="BG74" s="194"/>
      <c r="BH74" s="194"/>
      <c r="BI74" s="194"/>
      <c r="BJ74" s="194"/>
      <c r="BK74" s="194"/>
      <c r="BL74" s="194"/>
      <c r="BM74" s="194"/>
      <c r="BN74" s="194">
        <f t="shared" si="67"/>
        <v>16967.718181818182</v>
      </c>
      <c r="BO74" s="194">
        <f t="shared" si="67"/>
        <v>1737831</v>
      </c>
      <c r="BP74" s="194"/>
      <c r="BQ74" s="194">
        <f t="shared" si="67"/>
        <v>409.8</v>
      </c>
      <c r="BR74" s="194">
        <f t="shared" si="67"/>
        <v>1696.7718181818182</v>
      </c>
      <c r="BS74" s="194">
        <f t="shared" si="67"/>
        <v>35693225.967272729</v>
      </c>
      <c r="BT74" s="194"/>
      <c r="BU74" s="194">
        <f t="shared" si="67"/>
        <v>95710.217999999993</v>
      </c>
      <c r="BV74" s="194">
        <f t="shared" si="67"/>
        <v>-2.7999999997518898E-2</v>
      </c>
      <c r="BW74" s="243"/>
      <c r="BX74" s="201" t="s">
        <v>395</v>
      </c>
      <c r="BY74" s="193"/>
    </row>
    <row r="75" spans="1:82" ht="20.100000000000001" customHeight="1" x14ac:dyDescent="0.2">
      <c r="A75" s="186">
        <v>6</v>
      </c>
      <c r="B75" s="189"/>
      <c r="C75" s="191" t="s">
        <v>103</v>
      </c>
      <c r="D75" s="190"/>
      <c r="E75" s="190"/>
      <c r="F75" s="190"/>
      <c r="G75" s="191"/>
      <c r="H75" s="191"/>
      <c r="I75" s="192"/>
      <c r="J75" s="194">
        <f t="shared" ref="J75:BV75" si="68">J38</f>
        <v>92950</v>
      </c>
      <c r="K75" s="194">
        <f t="shared" si="68"/>
        <v>-550</v>
      </c>
      <c r="L75" s="194">
        <f t="shared" si="68"/>
        <v>92400</v>
      </c>
      <c r="M75" s="194">
        <f t="shared" si="68"/>
        <v>0</v>
      </c>
      <c r="N75" s="194">
        <f t="shared" si="68"/>
        <v>0</v>
      </c>
      <c r="O75" s="194">
        <f t="shared" si="68"/>
        <v>0</v>
      </c>
      <c r="P75" s="194">
        <f t="shared" si="68"/>
        <v>0</v>
      </c>
      <c r="Q75" s="194">
        <f t="shared" si="68"/>
        <v>0</v>
      </c>
      <c r="R75" s="194">
        <f t="shared" si="68"/>
        <v>0</v>
      </c>
      <c r="S75" s="194">
        <f t="shared" si="68"/>
        <v>0</v>
      </c>
      <c r="T75" s="194">
        <f t="shared" si="68"/>
        <v>0</v>
      </c>
      <c r="U75" s="194">
        <f t="shared" si="68"/>
        <v>92400</v>
      </c>
      <c r="V75" s="194">
        <f t="shared" si="68"/>
        <v>7371864</v>
      </c>
      <c r="W75" s="194">
        <f t="shared" si="68"/>
        <v>79.309994620763845</v>
      </c>
      <c r="X75" s="194">
        <f t="shared" si="68"/>
        <v>33800</v>
      </c>
      <c r="Y75" s="194">
        <f t="shared" si="68"/>
        <v>2642146</v>
      </c>
      <c r="Z75" s="194"/>
      <c r="AA75" s="194">
        <f t="shared" si="68"/>
        <v>78.17</v>
      </c>
      <c r="AB75" s="194">
        <f t="shared" si="68"/>
        <v>3380</v>
      </c>
      <c r="AC75" s="194">
        <f t="shared" si="68"/>
        <v>70398640</v>
      </c>
      <c r="AD75" s="194"/>
      <c r="AE75" s="194">
        <f t="shared" si="68"/>
        <v>33800</v>
      </c>
      <c r="AF75" s="194">
        <f t="shared" si="68"/>
        <v>2926404</v>
      </c>
      <c r="AG75" s="194"/>
      <c r="AH75" s="194">
        <f t="shared" si="68"/>
        <v>86.58</v>
      </c>
      <c r="AI75" s="194">
        <f t="shared" si="68"/>
        <v>3380</v>
      </c>
      <c r="AJ75" s="194">
        <f t="shared" si="68"/>
        <v>70398640</v>
      </c>
      <c r="AK75" s="194"/>
      <c r="AL75" s="194">
        <f t="shared" si="68"/>
        <v>16400</v>
      </c>
      <c r="AM75" s="194">
        <f t="shared" si="68"/>
        <v>1613104</v>
      </c>
      <c r="AN75" s="194"/>
      <c r="AO75" s="194">
        <f t="shared" si="68"/>
        <v>98.36</v>
      </c>
      <c r="AP75" s="194">
        <f t="shared" si="68"/>
        <v>1640</v>
      </c>
      <c r="AQ75" s="194">
        <f t="shared" si="68"/>
        <v>34499040</v>
      </c>
      <c r="AR75" s="194"/>
      <c r="AS75" s="194">
        <f t="shared" si="68"/>
        <v>0</v>
      </c>
      <c r="AT75" s="194">
        <f t="shared" si="68"/>
        <v>0</v>
      </c>
      <c r="AU75" s="194"/>
      <c r="AV75" s="194">
        <f t="shared" si="68"/>
        <v>0</v>
      </c>
      <c r="AW75" s="194">
        <f t="shared" si="68"/>
        <v>0</v>
      </c>
      <c r="AX75" s="194">
        <f t="shared" si="68"/>
        <v>0</v>
      </c>
      <c r="AY75" s="194"/>
      <c r="AZ75" s="194">
        <f t="shared" si="68"/>
        <v>0</v>
      </c>
      <c r="BA75" s="194">
        <f t="shared" si="68"/>
        <v>0</v>
      </c>
      <c r="BB75" s="194"/>
      <c r="BC75" s="194">
        <f t="shared" si="68"/>
        <v>0</v>
      </c>
      <c r="BD75" s="194">
        <f t="shared" si="68"/>
        <v>0</v>
      </c>
      <c r="BE75" s="194">
        <f t="shared" si="68"/>
        <v>0</v>
      </c>
      <c r="BF75" s="194"/>
      <c r="BG75" s="194"/>
      <c r="BH75" s="194"/>
      <c r="BI75" s="194"/>
      <c r="BJ75" s="194"/>
      <c r="BK75" s="194"/>
      <c r="BL75" s="194"/>
      <c r="BM75" s="194"/>
      <c r="BN75" s="194">
        <f t="shared" si="68"/>
        <v>0</v>
      </c>
      <c r="BO75" s="194">
        <f t="shared" si="68"/>
        <v>0</v>
      </c>
      <c r="BP75" s="194"/>
      <c r="BQ75" s="194">
        <f t="shared" si="68"/>
        <v>0</v>
      </c>
      <c r="BR75" s="194">
        <f t="shared" si="68"/>
        <v>0</v>
      </c>
      <c r="BS75" s="194">
        <f t="shared" si="68"/>
        <v>0</v>
      </c>
      <c r="BT75" s="194"/>
      <c r="BU75" s="194">
        <f t="shared" si="68"/>
        <v>92400</v>
      </c>
      <c r="BV75" s="194">
        <f t="shared" si="68"/>
        <v>0</v>
      </c>
      <c r="BW75" s="243"/>
      <c r="BX75" s="201" t="s">
        <v>395</v>
      </c>
      <c r="BY75" s="193"/>
    </row>
    <row r="76" spans="1:82" ht="20.100000000000001" customHeight="1" x14ac:dyDescent="0.2">
      <c r="A76" s="186">
        <v>7</v>
      </c>
      <c r="B76" s="189"/>
      <c r="C76" s="191" t="s">
        <v>332</v>
      </c>
      <c r="D76" s="190" t="s">
        <v>352</v>
      </c>
      <c r="E76" s="190"/>
      <c r="F76" s="190"/>
      <c r="G76" s="191"/>
      <c r="H76" s="191"/>
      <c r="I76" s="192"/>
      <c r="J76" s="194">
        <f t="shared" ref="J76:BV76" si="69">J55</f>
        <v>220000</v>
      </c>
      <c r="K76" s="194">
        <f t="shared" si="69"/>
        <v>0</v>
      </c>
      <c r="L76" s="194">
        <f t="shared" si="69"/>
        <v>0</v>
      </c>
      <c r="M76" s="194">
        <f t="shared" si="69"/>
        <v>0</v>
      </c>
      <c r="N76" s="194">
        <f t="shared" si="69"/>
        <v>0</v>
      </c>
      <c r="O76" s="194">
        <f t="shared" si="69"/>
        <v>0</v>
      </c>
      <c r="P76" s="194">
        <f t="shared" si="69"/>
        <v>0</v>
      </c>
      <c r="Q76" s="194">
        <f t="shared" si="69"/>
        <v>0</v>
      </c>
      <c r="R76" s="194">
        <f t="shared" si="69"/>
        <v>0</v>
      </c>
      <c r="S76" s="194">
        <f t="shared" si="69"/>
        <v>0</v>
      </c>
      <c r="T76" s="194">
        <f t="shared" si="69"/>
        <v>0</v>
      </c>
      <c r="U76" s="194">
        <f t="shared" si="69"/>
        <v>220000</v>
      </c>
      <c r="V76" s="194">
        <f t="shared" si="69"/>
        <v>16136000</v>
      </c>
      <c r="W76" s="194">
        <f t="shared" si="69"/>
        <v>73.345454545454544</v>
      </c>
      <c r="X76" s="194">
        <f t="shared" si="69"/>
        <v>88000</v>
      </c>
      <c r="Y76" s="194">
        <f t="shared" si="69"/>
        <v>7144720</v>
      </c>
      <c r="Z76" s="194"/>
      <c r="AA76" s="194">
        <f t="shared" si="69"/>
        <v>81.19</v>
      </c>
      <c r="AB76" s="194">
        <f t="shared" si="69"/>
        <v>0</v>
      </c>
      <c r="AC76" s="194">
        <f t="shared" si="69"/>
        <v>0</v>
      </c>
      <c r="AD76" s="194"/>
      <c r="AE76" s="194">
        <f t="shared" si="69"/>
        <v>40000</v>
      </c>
      <c r="AF76" s="194">
        <f t="shared" si="69"/>
        <v>3943600</v>
      </c>
      <c r="AG76" s="194"/>
      <c r="AH76" s="194">
        <f t="shared" si="69"/>
        <v>98.59</v>
      </c>
      <c r="AI76" s="194">
        <f t="shared" si="69"/>
        <v>4000</v>
      </c>
      <c r="AJ76" s="194">
        <f t="shared" si="69"/>
        <v>84144000</v>
      </c>
      <c r="AK76" s="194"/>
      <c r="AL76" s="194">
        <f t="shared" si="69"/>
        <v>60000</v>
      </c>
      <c r="AM76" s="194">
        <f t="shared" si="69"/>
        <v>6303000</v>
      </c>
      <c r="AN76" s="194"/>
      <c r="AO76" s="194">
        <f t="shared" si="69"/>
        <v>105.05</v>
      </c>
      <c r="AP76" s="194">
        <f t="shared" si="69"/>
        <v>6000</v>
      </c>
      <c r="AQ76" s="194">
        <f t="shared" si="69"/>
        <v>126216000</v>
      </c>
      <c r="AR76" s="194"/>
      <c r="AS76" s="194">
        <f t="shared" si="69"/>
        <v>20000</v>
      </c>
      <c r="AT76" s="194">
        <f t="shared" si="69"/>
        <v>2057000</v>
      </c>
      <c r="AU76" s="194"/>
      <c r="AV76" s="194">
        <f t="shared" si="69"/>
        <v>102.85</v>
      </c>
      <c r="AW76" s="194">
        <f t="shared" si="69"/>
        <v>2000</v>
      </c>
      <c r="AX76" s="194">
        <f t="shared" si="69"/>
        <v>42492000</v>
      </c>
      <c r="AY76" s="194"/>
      <c r="AZ76" s="194">
        <f t="shared" si="69"/>
        <v>0</v>
      </c>
      <c r="BA76" s="194">
        <f t="shared" si="69"/>
        <v>0</v>
      </c>
      <c r="BB76" s="194"/>
      <c r="BC76" s="194">
        <f t="shared" si="69"/>
        <v>0</v>
      </c>
      <c r="BD76" s="194">
        <f t="shared" si="69"/>
        <v>0</v>
      </c>
      <c r="BE76" s="194">
        <f t="shared" si="69"/>
        <v>0</v>
      </c>
      <c r="BF76" s="194"/>
      <c r="BG76" s="194"/>
      <c r="BH76" s="194"/>
      <c r="BI76" s="194"/>
      <c r="BJ76" s="194"/>
      <c r="BK76" s="194"/>
      <c r="BL76" s="194"/>
      <c r="BM76" s="194"/>
      <c r="BN76" s="194">
        <f t="shared" si="69"/>
        <v>0</v>
      </c>
      <c r="BO76" s="194">
        <f t="shared" si="69"/>
        <v>0</v>
      </c>
      <c r="BP76" s="194"/>
      <c r="BQ76" s="194">
        <f t="shared" si="69"/>
        <v>0</v>
      </c>
      <c r="BR76" s="194">
        <f t="shared" si="69"/>
        <v>0</v>
      </c>
      <c r="BS76" s="194">
        <f t="shared" si="69"/>
        <v>0</v>
      </c>
      <c r="BT76" s="194"/>
      <c r="BU76" s="194">
        <f t="shared" si="69"/>
        <v>220000</v>
      </c>
      <c r="BV76" s="194">
        <f t="shared" si="69"/>
        <v>0</v>
      </c>
      <c r="BW76" s="243"/>
      <c r="BX76" s="201" t="s">
        <v>395</v>
      </c>
      <c r="BY76" s="193" t="s">
        <v>334</v>
      </c>
    </row>
    <row r="77" spans="1:82" ht="24" customHeight="1" x14ac:dyDescent="0.2">
      <c r="A77" s="186">
        <v>8</v>
      </c>
      <c r="B77" s="189"/>
      <c r="C77" s="191" t="s">
        <v>116</v>
      </c>
      <c r="D77" s="190"/>
      <c r="E77" s="190"/>
      <c r="F77" s="190"/>
      <c r="G77" s="191"/>
      <c r="H77" s="191"/>
      <c r="I77" s="192"/>
      <c r="J77" s="194">
        <f t="shared" ref="J77:BV77" si="70">J30+J45+J46</f>
        <v>130460</v>
      </c>
      <c r="K77" s="194">
        <f t="shared" si="70"/>
        <v>30800</v>
      </c>
      <c r="L77" s="194">
        <f t="shared" si="70"/>
        <v>84260</v>
      </c>
      <c r="M77" s="194">
        <f t="shared" si="70"/>
        <v>25300</v>
      </c>
      <c r="N77" s="194">
        <f t="shared" si="70"/>
        <v>102300</v>
      </c>
      <c r="O77" s="194">
        <f t="shared" si="70"/>
        <v>20790</v>
      </c>
      <c r="P77" s="194">
        <f t="shared" si="70"/>
        <v>38390</v>
      </c>
      <c r="Q77" s="194">
        <f t="shared" si="70"/>
        <v>0</v>
      </c>
      <c r="R77" s="194">
        <f t="shared" si="70"/>
        <v>0</v>
      </c>
      <c r="S77" s="194">
        <f t="shared" si="70"/>
        <v>0</v>
      </c>
      <c r="T77" s="194">
        <f t="shared" si="70"/>
        <v>0</v>
      </c>
      <c r="U77" s="194">
        <f t="shared" si="70"/>
        <v>207350</v>
      </c>
      <c r="V77" s="194">
        <f t="shared" si="70"/>
        <v>18189254.800000001</v>
      </c>
      <c r="W77" s="194">
        <f t="shared" si="70"/>
        <v>234.74287969298723</v>
      </c>
      <c r="X77" s="194">
        <f t="shared" si="70"/>
        <v>53840</v>
      </c>
      <c r="Y77" s="194">
        <f t="shared" si="70"/>
        <v>4512722</v>
      </c>
      <c r="Z77" s="194"/>
      <c r="AA77" s="194">
        <f t="shared" si="70"/>
        <v>252.79997942386831</v>
      </c>
      <c r="AB77" s="194">
        <f t="shared" si="70"/>
        <v>5384</v>
      </c>
      <c r="AC77" s="194">
        <f t="shared" si="70"/>
        <v>112137952</v>
      </c>
      <c r="AD77" s="194"/>
      <c r="AE77" s="194">
        <f t="shared" si="70"/>
        <v>53840</v>
      </c>
      <c r="AF77" s="194">
        <f t="shared" si="70"/>
        <v>5204771</v>
      </c>
      <c r="AG77" s="194"/>
      <c r="AH77" s="194">
        <f t="shared" si="70"/>
        <v>294.86998971193418</v>
      </c>
      <c r="AI77" s="194">
        <f t="shared" si="70"/>
        <v>5384</v>
      </c>
      <c r="AJ77" s="194">
        <f t="shared" si="70"/>
        <v>112542304</v>
      </c>
      <c r="AK77" s="194"/>
      <c r="AL77" s="194">
        <f t="shared" si="70"/>
        <v>44520</v>
      </c>
      <c r="AM77" s="194">
        <f t="shared" si="70"/>
        <v>4365096</v>
      </c>
      <c r="AN77" s="194"/>
      <c r="AO77" s="194">
        <f t="shared" si="70"/>
        <v>293.90999999999997</v>
      </c>
      <c r="AP77" s="194">
        <f t="shared" si="70"/>
        <v>4452</v>
      </c>
      <c r="AQ77" s="194">
        <f t="shared" si="70"/>
        <v>93652272</v>
      </c>
      <c r="AR77" s="194"/>
      <c r="AS77" s="194">
        <f t="shared" si="70"/>
        <v>16700</v>
      </c>
      <c r="AT77" s="194">
        <f t="shared" si="70"/>
        <v>1637305</v>
      </c>
      <c r="AU77" s="194"/>
      <c r="AV77" s="194">
        <f t="shared" si="70"/>
        <v>196.11</v>
      </c>
      <c r="AW77" s="194">
        <f t="shared" si="70"/>
        <v>1670</v>
      </c>
      <c r="AX77" s="194">
        <f t="shared" si="70"/>
        <v>35130120</v>
      </c>
      <c r="AY77" s="194"/>
      <c r="AZ77" s="194">
        <f t="shared" si="70"/>
        <v>0</v>
      </c>
      <c r="BA77" s="194">
        <f t="shared" si="70"/>
        <v>0</v>
      </c>
      <c r="BB77" s="194"/>
      <c r="BC77" s="194">
        <f t="shared" si="70"/>
        <v>0</v>
      </c>
      <c r="BD77" s="194">
        <f t="shared" si="70"/>
        <v>0</v>
      </c>
      <c r="BE77" s="194">
        <f t="shared" si="70"/>
        <v>0</v>
      </c>
      <c r="BF77" s="194"/>
      <c r="BG77" s="194"/>
      <c r="BH77" s="194"/>
      <c r="BI77" s="194"/>
      <c r="BJ77" s="194"/>
      <c r="BK77" s="194"/>
      <c r="BL77" s="194"/>
      <c r="BM77" s="194"/>
      <c r="BN77" s="194">
        <f t="shared" si="70"/>
        <v>19600</v>
      </c>
      <c r="BO77" s="194">
        <f t="shared" si="70"/>
        <v>2030313</v>
      </c>
      <c r="BP77" s="194"/>
      <c r="BQ77" s="194">
        <f t="shared" si="70"/>
        <v>309.89</v>
      </c>
      <c r="BR77" s="194">
        <f t="shared" si="70"/>
        <v>1960</v>
      </c>
      <c r="BS77" s="194">
        <f t="shared" si="70"/>
        <v>41230560</v>
      </c>
      <c r="BT77" s="194"/>
      <c r="BU77" s="194">
        <f t="shared" si="70"/>
        <v>207350</v>
      </c>
      <c r="BV77" s="194">
        <f t="shared" si="70"/>
        <v>0</v>
      </c>
      <c r="BW77" s="243"/>
      <c r="BX77" s="201" t="s">
        <v>395</v>
      </c>
      <c r="BY77" s="201"/>
    </row>
    <row r="78" spans="1:82" ht="20.100000000000001" customHeight="1" x14ac:dyDescent="0.2">
      <c r="A78" s="186">
        <v>9</v>
      </c>
      <c r="B78" s="189"/>
      <c r="C78" s="191" t="s">
        <v>120</v>
      </c>
      <c r="D78" s="190"/>
      <c r="E78" s="190"/>
      <c r="F78" s="190"/>
      <c r="G78" s="191"/>
      <c r="H78" s="191"/>
      <c r="I78" s="192"/>
      <c r="J78" s="194">
        <f t="shared" ref="J78:BV78" si="71">J40+J42</f>
        <v>124919</v>
      </c>
      <c r="K78" s="194">
        <f t="shared" si="71"/>
        <v>-2818.3600000000006</v>
      </c>
      <c r="L78" s="194">
        <f t="shared" si="71"/>
        <v>122100.64</v>
      </c>
      <c r="M78" s="194">
        <f t="shared" si="71"/>
        <v>0</v>
      </c>
      <c r="N78" s="194">
        <f t="shared" si="71"/>
        <v>0</v>
      </c>
      <c r="O78" s="194">
        <f t="shared" si="71"/>
        <v>0</v>
      </c>
      <c r="P78" s="194">
        <f t="shared" si="71"/>
        <v>0</v>
      </c>
      <c r="Q78" s="194">
        <f t="shared" si="71"/>
        <v>0</v>
      </c>
      <c r="R78" s="194">
        <f t="shared" si="71"/>
        <v>0</v>
      </c>
      <c r="S78" s="194">
        <f t="shared" si="71"/>
        <v>0</v>
      </c>
      <c r="T78" s="194">
        <f t="shared" si="71"/>
        <v>0</v>
      </c>
      <c r="U78" s="194">
        <f t="shared" si="71"/>
        <v>122100.64</v>
      </c>
      <c r="V78" s="194">
        <f t="shared" si="71"/>
        <v>9907262.2000000011</v>
      </c>
      <c r="W78" s="194">
        <f t="shared" si="71"/>
        <v>158.61896117709921</v>
      </c>
      <c r="X78" s="194">
        <f t="shared" si="71"/>
        <v>45425.090909090912</v>
      </c>
      <c r="Y78" s="194">
        <f t="shared" si="71"/>
        <v>3524987</v>
      </c>
      <c r="Z78" s="194"/>
      <c r="AA78" s="194">
        <f t="shared" si="71"/>
        <v>155.19999928138679</v>
      </c>
      <c r="AB78" s="194">
        <f t="shared" si="71"/>
        <v>4542.5090909090914</v>
      </c>
      <c r="AC78" s="194">
        <f t="shared" si="71"/>
        <v>94611379.345454559</v>
      </c>
      <c r="AD78" s="194"/>
      <c r="AE78" s="194">
        <f t="shared" si="71"/>
        <v>45425.09181818182</v>
      </c>
      <c r="AF78" s="194">
        <f t="shared" si="71"/>
        <v>4202275</v>
      </c>
      <c r="AG78" s="194"/>
      <c r="AH78" s="194">
        <f t="shared" si="71"/>
        <v>185.01998837383132</v>
      </c>
      <c r="AI78" s="194">
        <f t="shared" si="71"/>
        <v>4542.5091818181827</v>
      </c>
      <c r="AJ78" s="194">
        <f t="shared" si="71"/>
        <v>94611381.238909096</v>
      </c>
      <c r="AK78" s="194"/>
      <c r="AL78" s="194">
        <f t="shared" si="71"/>
        <v>20150.399999999998</v>
      </c>
      <c r="AM78" s="194">
        <f t="shared" si="71"/>
        <v>2063804</v>
      </c>
      <c r="AN78" s="194"/>
      <c r="AO78" s="194">
        <f t="shared" si="71"/>
        <v>204.84005743447904</v>
      </c>
      <c r="AP78" s="194">
        <f t="shared" si="71"/>
        <v>2015.04</v>
      </c>
      <c r="AQ78" s="194">
        <f t="shared" si="71"/>
        <v>42388381.439999998</v>
      </c>
      <c r="AR78" s="194"/>
      <c r="AS78" s="194">
        <f t="shared" si="71"/>
        <v>0</v>
      </c>
      <c r="AT78" s="194">
        <f t="shared" si="71"/>
        <v>0</v>
      </c>
      <c r="AU78" s="194"/>
      <c r="AV78" s="194">
        <f t="shared" si="71"/>
        <v>0</v>
      </c>
      <c r="AW78" s="194">
        <f t="shared" si="71"/>
        <v>0</v>
      </c>
      <c r="AX78" s="194">
        <f t="shared" si="71"/>
        <v>0</v>
      </c>
      <c r="AY78" s="194"/>
      <c r="AZ78" s="194">
        <f t="shared" si="71"/>
        <v>0</v>
      </c>
      <c r="BA78" s="194">
        <f t="shared" si="71"/>
        <v>0</v>
      </c>
      <c r="BB78" s="194"/>
      <c r="BC78" s="194">
        <f t="shared" si="71"/>
        <v>0</v>
      </c>
      <c r="BD78" s="194">
        <f t="shared" si="71"/>
        <v>0</v>
      </c>
      <c r="BE78" s="194">
        <f t="shared" si="71"/>
        <v>0</v>
      </c>
      <c r="BF78" s="194"/>
      <c r="BG78" s="194"/>
      <c r="BH78" s="194"/>
      <c r="BI78" s="194"/>
      <c r="BJ78" s="194"/>
      <c r="BK78" s="194"/>
      <c r="BL78" s="194"/>
      <c r="BM78" s="194"/>
      <c r="BN78" s="194">
        <f t="shared" si="71"/>
        <v>0</v>
      </c>
      <c r="BO78" s="194">
        <f t="shared" si="71"/>
        <v>0</v>
      </c>
      <c r="BP78" s="194"/>
      <c r="BQ78" s="194">
        <f t="shared" si="71"/>
        <v>0</v>
      </c>
      <c r="BR78" s="194">
        <f t="shared" si="71"/>
        <v>0</v>
      </c>
      <c r="BS78" s="194">
        <f t="shared" si="71"/>
        <v>0</v>
      </c>
      <c r="BT78" s="194"/>
      <c r="BU78" s="194">
        <f t="shared" si="71"/>
        <v>122100.64100000002</v>
      </c>
      <c r="BV78" s="194">
        <f t="shared" si="71"/>
        <v>-1.0000000038417056E-3</v>
      </c>
      <c r="BW78" s="243"/>
      <c r="BX78" s="201" t="s">
        <v>395</v>
      </c>
      <c r="BY78" s="193"/>
    </row>
    <row r="79" spans="1:82" ht="20.100000000000001" customHeight="1" x14ac:dyDescent="0.2">
      <c r="A79" s="186">
        <v>10</v>
      </c>
      <c r="B79" s="189"/>
      <c r="C79" s="191" t="s">
        <v>10</v>
      </c>
      <c r="D79" s="190"/>
      <c r="E79" s="190"/>
      <c r="F79" s="190"/>
      <c r="G79" s="191"/>
      <c r="H79" s="191"/>
      <c r="I79" s="192"/>
      <c r="J79" s="194">
        <f t="shared" ref="J79:BV79" si="72">J15+J16+J17+J49</f>
        <v>190300</v>
      </c>
      <c r="K79" s="194">
        <f t="shared" si="72"/>
        <v>0</v>
      </c>
      <c r="L79" s="194">
        <f t="shared" si="72"/>
        <v>0</v>
      </c>
      <c r="M79" s="194">
        <f t="shared" si="72"/>
        <v>-1000</v>
      </c>
      <c r="N79" s="194">
        <f t="shared" si="72"/>
        <v>189300</v>
      </c>
      <c r="O79" s="194">
        <f t="shared" si="72"/>
        <v>8512</v>
      </c>
      <c r="P79" s="194">
        <f t="shared" si="72"/>
        <v>108712</v>
      </c>
      <c r="Q79" s="194">
        <f t="shared" si="72"/>
        <v>0</v>
      </c>
      <c r="R79" s="194">
        <f t="shared" si="72"/>
        <v>0</v>
      </c>
      <c r="S79" s="194">
        <f t="shared" si="72"/>
        <v>0</v>
      </c>
      <c r="T79" s="194">
        <f t="shared" si="72"/>
        <v>0</v>
      </c>
      <c r="U79" s="194">
        <f t="shared" si="72"/>
        <v>197812</v>
      </c>
      <c r="V79" s="194">
        <f t="shared" si="72"/>
        <v>16830221</v>
      </c>
      <c r="W79" s="194">
        <f t="shared" si="72"/>
        <v>179.10441212121214</v>
      </c>
      <c r="X79" s="194">
        <f t="shared" si="72"/>
        <v>91263.637272727268</v>
      </c>
      <c r="Y79" s="194">
        <f t="shared" si="72"/>
        <v>7607446.4545454541</v>
      </c>
      <c r="Z79" s="194"/>
      <c r="AA79" s="194">
        <f t="shared" si="72"/>
        <v>155.57</v>
      </c>
      <c r="AB79" s="194">
        <f t="shared" si="72"/>
        <v>5826.3637272727274</v>
      </c>
      <c r="AC79" s="194">
        <f t="shared" si="72"/>
        <v>121692543.71163636</v>
      </c>
      <c r="AD79" s="194"/>
      <c r="AE79" s="194">
        <f t="shared" si="72"/>
        <v>54365.454545454544</v>
      </c>
      <c r="AF79" s="194">
        <f t="shared" si="72"/>
        <v>4436543</v>
      </c>
      <c r="AG79" s="194"/>
      <c r="AH79" s="194">
        <f t="shared" si="72"/>
        <v>356.07381199917683</v>
      </c>
      <c r="AI79" s="194">
        <f t="shared" si="72"/>
        <v>5436.545454545455</v>
      </c>
      <c r="AJ79" s="194">
        <f t="shared" si="72"/>
        <v>113325810.18181817</v>
      </c>
      <c r="AK79" s="194"/>
      <c r="AL79" s="194">
        <f t="shared" si="72"/>
        <v>34600</v>
      </c>
      <c r="AM79" s="194">
        <f t="shared" si="72"/>
        <v>3040186</v>
      </c>
      <c r="AN79" s="194"/>
      <c r="AO79" s="194">
        <f t="shared" si="72"/>
        <v>178.25</v>
      </c>
      <c r="AP79" s="194">
        <f t="shared" si="72"/>
        <v>3460</v>
      </c>
      <c r="AQ79" s="194">
        <f t="shared" si="72"/>
        <v>72376880</v>
      </c>
      <c r="AR79" s="194"/>
      <c r="AS79" s="194">
        <f t="shared" si="72"/>
        <v>2600</v>
      </c>
      <c r="AT79" s="194">
        <f t="shared" si="72"/>
        <v>255736</v>
      </c>
      <c r="AU79" s="194"/>
      <c r="AV79" s="194">
        <f t="shared" si="72"/>
        <v>98.36</v>
      </c>
      <c r="AW79" s="194">
        <f t="shared" si="72"/>
        <v>260</v>
      </c>
      <c r="AX79" s="194">
        <f t="shared" si="72"/>
        <v>5469360</v>
      </c>
      <c r="AY79" s="194"/>
      <c r="AZ79" s="194">
        <f t="shared" si="72"/>
        <v>0</v>
      </c>
      <c r="BA79" s="194">
        <f t="shared" si="72"/>
        <v>0</v>
      </c>
      <c r="BB79" s="194"/>
      <c r="BC79" s="194">
        <f t="shared" si="72"/>
        <v>0</v>
      </c>
      <c r="BD79" s="194">
        <f t="shared" si="72"/>
        <v>0</v>
      </c>
      <c r="BE79" s="194">
        <f t="shared" si="72"/>
        <v>0</v>
      </c>
      <c r="BF79" s="194"/>
      <c r="BG79" s="194"/>
      <c r="BH79" s="194"/>
      <c r="BI79" s="194"/>
      <c r="BJ79" s="194"/>
      <c r="BK79" s="194"/>
      <c r="BL79" s="194"/>
      <c r="BM79" s="194"/>
      <c r="BN79" s="194">
        <f t="shared" si="72"/>
        <v>0</v>
      </c>
      <c r="BO79" s="194">
        <f t="shared" si="72"/>
        <v>0</v>
      </c>
      <c r="BP79" s="194"/>
      <c r="BQ79" s="194">
        <f t="shared" si="72"/>
        <v>0</v>
      </c>
      <c r="BR79" s="194">
        <f t="shared" si="72"/>
        <v>0</v>
      </c>
      <c r="BS79" s="194">
        <f t="shared" si="72"/>
        <v>0</v>
      </c>
      <c r="BT79" s="194"/>
      <c r="BU79" s="194">
        <f t="shared" si="72"/>
        <v>197812.00099999999</v>
      </c>
      <c r="BV79" s="194">
        <f t="shared" si="72"/>
        <v>-1.0000000002037268E-3</v>
      </c>
      <c r="BW79" s="243"/>
      <c r="BX79" s="201" t="s">
        <v>395</v>
      </c>
      <c r="BY79" s="193"/>
    </row>
    <row r="80" spans="1:82" ht="20.100000000000001" customHeight="1" x14ac:dyDescent="0.2">
      <c r="A80" s="186">
        <v>11</v>
      </c>
      <c r="B80" s="189"/>
      <c r="C80" s="191" t="s">
        <v>325</v>
      </c>
      <c r="D80" s="190" t="s">
        <v>106</v>
      </c>
      <c r="E80" s="190"/>
      <c r="F80" s="190"/>
      <c r="G80" s="191"/>
      <c r="H80" s="191"/>
      <c r="I80" s="192"/>
      <c r="J80" s="194">
        <f t="shared" ref="J80:BV80" si="73">J60</f>
        <v>72214</v>
      </c>
      <c r="K80" s="194">
        <f t="shared" si="73"/>
        <v>0</v>
      </c>
      <c r="L80" s="194">
        <f t="shared" si="73"/>
        <v>0</v>
      </c>
      <c r="M80" s="194">
        <f t="shared" si="73"/>
        <v>0</v>
      </c>
      <c r="N80" s="194">
        <f t="shared" si="73"/>
        <v>0</v>
      </c>
      <c r="O80" s="194">
        <f t="shared" si="73"/>
        <v>0</v>
      </c>
      <c r="P80" s="194">
        <f t="shared" si="73"/>
        <v>0</v>
      </c>
      <c r="Q80" s="194">
        <f t="shared" si="73"/>
        <v>0</v>
      </c>
      <c r="R80" s="194">
        <f t="shared" si="73"/>
        <v>0</v>
      </c>
      <c r="S80" s="194">
        <f t="shared" si="73"/>
        <v>0</v>
      </c>
      <c r="T80" s="194">
        <f t="shared" si="73"/>
        <v>0</v>
      </c>
      <c r="U80" s="194">
        <f t="shared" si="73"/>
        <v>72214</v>
      </c>
      <c r="V80" s="194">
        <f t="shared" si="73"/>
        <v>5206662</v>
      </c>
      <c r="W80" s="194">
        <f t="shared" si="73"/>
        <v>79.310496579610614</v>
      </c>
      <c r="X80" s="194">
        <f t="shared" si="73"/>
        <v>32825</v>
      </c>
      <c r="Y80" s="194">
        <f t="shared" si="73"/>
        <v>2579966</v>
      </c>
      <c r="Z80" s="194"/>
      <c r="AA80" s="194">
        <f t="shared" si="73"/>
        <v>78.59759329779132</v>
      </c>
      <c r="AB80" s="194">
        <f t="shared" si="73"/>
        <v>3282.5</v>
      </c>
      <c r="AC80" s="194">
        <f t="shared" si="73"/>
        <v>69739995</v>
      </c>
      <c r="AD80" s="194"/>
      <c r="AE80" s="194">
        <f t="shared" si="73"/>
        <v>32824.089999999997</v>
      </c>
      <c r="AF80" s="194">
        <f t="shared" si="73"/>
        <v>3588986</v>
      </c>
      <c r="AG80" s="194"/>
      <c r="AH80" s="194">
        <f t="shared" si="73"/>
        <v>109.33999998172075</v>
      </c>
      <c r="AI80" s="194">
        <f t="shared" si="73"/>
        <v>3282.4089999999997</v>
      </c>
      <c r="AJ80" s="194">
        <f t="shared" si="73"/>
        <v>69738061.613999993</v>
      </c>
      <c r="AK80" s="194"/>
      <c r="AL80" s="194">
        <f t="shared" si="73"/>
        <v>0</v>
      </c>
      <c r="AM80" s="194">
        <f t="shared" si="73"/>
        <v>0</v>
      </c>
      <c r="AN80" s="194"/>
      <c r="AO80" s="194">
        <f t="shared" si="73"/>
        <v>0</v>
      </c>
      <c r="AP80" s="194">
        <f t="shared" si="73"/>
        <v>0</v>
      </c>
      <c r="AQ80" s="194">
        <f t="shared" si="73"/>
        <v>0</v>
      </c>
      <c r="AR80" s="194"/>
      <c r="AS80" s="194">
        <f t="shared" si="73"/>
        <v>0</v>
      </c>
      <c r="AT80" s="194">
        <f t="shared" si="73"/>
        <v>0</v>
      </c>
      <c r="AU80" s="194"/>
      <c r="AV80" s="194">
        <f t="shared" si="73"/>
        <v>0</v>
      </c>
      <c r="AW80" s="194">
        <f t="shared" si="73"/>
        <v>0</v>
      </c>
      <c r="AX80" s="194">
        <f t="shared" si="73"/>
        <v>0</v>
      </c>
      <c r="AY80" s="194"/>
      <c r="AZ80" s="194">
        <f t="shared" si="73"/>
        <v>0</v>
      </c>
      <c r="BA80" s="194">
        <f t="shared" si="73"/>
        <v>0</v>
      </c>
      <c r="BB80" s="194"/>
      <c r="BC80" s="194">
        <f t="shared" si="73"/>
        <v>0</v>
      </c>
      <c r="BD80" s="194">
        <f t="shared" si="73"/>
        <v>0</v>
      </c>
      <c r="BE80" s="194">
        <f t="shared" si="73"/>
        <v>0</v>
      </c>
      <c r="BF80" s="194"/>
      <c r="BG80" s="194"/>
      <c r="BH80" s="194"/>
      <c r="BI80" s="194"/>
      <c r="BJ80" s="194"/>
      <c r="BK80" s="194"/>
      <c r="BL80" s="194"/>
      <c r="BM80" s="194"/>
      <c r="BN80" s="194">
        <f t="shared" si="73"/>
        <v>0</v>
      </c>
      <c r="BO80" s="194">
        <f t="shared" si="73"/>
        <v>0</v>
      </c>
      <c r="BP80" s="194"/>
      <c r="BQ80" s="194">
        <f t="shared" si="73"/>
        <v>0</v>
      </c>
      <c r="BR80" s="194">
        <f t="shared" si="73"/>
        <v>0</v>
      </c>
      <c r="BS80" s="194">
        <f t="shared" si="73"/>
        <v>0</v>
      </c>
      <c r="BT80" s="194"/>
      <c r="BU80" s="194">
        <f t="shared" si="73"/>
        <v>72213.998999999996</v>
      </c>
      <c r="BV80" s="194">
        <f t="shared" si="73"/>
        <v>1.0000000038417056E-3</v>
      </c>
      <c r="BW80" s="243"/>
      <c r="BX80" s="201" t="s">
        <v>395</v>
      </c>
      <c r="BY80" s="193" t="s">
        <v>334</v>
      </c>
    </row>
    <row r="81" spans="1:82" ht="20.100000000000001" customHeight="1" x14ac:dyDescent="0.2">
      <c r="A81" s="186">
        <v>12</v>
      </c>
      <c r="B81" s="189"/>
      <c r="C81" s="191" t="s">
        <v>5</v>
      </c>
      <c r="D81" s="190"/>
      <c r="E81" s="190"/>
      <c r="F81" s="190"/>
      <c r="G81" s="191"/>
      <c r="H81" s="191"/>
      <c r="I81" s="192"/>
      <c r="J81" s="194">
        <f t="shared" ref="J81:BV81" si="74">J10+J41+J44</f>
        <v>200135</v>
      </c>
      <c r="K81" s="194">
        <f t="shared" si="74"/>
        <v>7139.6500000000015</v>
      </c>
      <c r="L81" s="194">
        <f t="shared" si="74"/>
        <v>97274.65</v>
      </c>
      <c r="M81" s="194">
        <f t="shared" si="74"/>
        <v>2750</v>
      </c>
      <c r="N81" s="194">
        <f t="shared" si="74"/>
        <v>112750</v>
      </c>
      <c r="O81" s="194">
        <f t="shared" si="74"/>
        <v>2750</v>
      </c>
      <c r="P81" s="194">
        <f t="shared" si="74"/>
        <v>115500</v>
      </c>
      <c r="Q81" s="194">
        <f t="shared" si="74"/>
        <v>0</v>
      </c>
      <c r="R81" s="194">
        <f t="shared" si="74"/>
        <v>0</v>
      </c>
      <c r="S81" s="194">
        <f t="shared" si="74"/>
        <v>0</v>
      </c>
      <c r="T81" s="194">
        <f t="shared" si="74"/>
        <v>0</v>
      </c>
      <c r="U81" s="194">
        <f t="shared" si="74"/>
        <v>212774.65</v>
      </c>
      <c r="V81" s="194">
        <f t="shared" si="74"/>
        <v>15947609.700000003</v>
      </c>
      <c r="W81" s="194">
        <f t="shared" si="74"/>
        <v>238.61088676702076</v>
      </c>
      <c r="X81" s="194">
        <f t="shared" si="74"/>
        <v>76775.454545454544</v>
      </c>
      <c r="Y81" s="194">
        <f t="shared" si="74"/>
        <v>5948794</v>
      </c>
      <c r="Z81" s="194"/>
      <c r="AA81" s="194">
        <f t="shared" si="74"/>
        <v>233.85242434138959</v>
      </c>
      <c r="AB81" s="194">
        <f t="shared" si="74"/>
        <v>3277.545454545454</v>
      </c>
      <c r="AC81" s="194">
        <f t="shared" si="74"/>
        <v>68265853</v>
      </c>
      <c r="AD81" s="194"/>
      <c r="AE81" s="194">
        <f t="shared" si="74"/>
        <v>76775.454545454544</v>
      </c>
      <c r="AF81" s="194">
        <f t="shared" si="74"/>
        <v>6731809</v>
      </c>
      <c r="AG81" s="194"/>
      <c r="AH81" s="194">
        <f t="shared" si="74"/>
        <v>273.29212385570872</v>
      </c>
      <c r="AI81" s="194">
        <f t="shared" si="74"/>
        <v>3277.545454545454</v>
      </c>
      <c r="AJ81" s="194">
        <f t="shared" si="74"/>
        <v>68549903.36363636</v>
      </c>
      <c r="AK81" s="194"/>
      <c r="AL81" s="194">
        <f t="shared" si="74"/>
        <v>47880.590909090912</v>
      </c>
      <c r="AM81" s="194">
        <f t="shared" si="74"/>
        <v>4709535</v>
      </c>
      <c r="AN81" s="194"/>
      <c r="AO81" s="194">
        <f t="shared" si="74"/>
        <v>295.08000820858513</v>
      </c>
      <c r="AP81" s="194">
        <f t="shared" si="74"/>
        <v>4788.0590909090906</v>
      </c>
      <c r="AQ81" s="194">
        <f t="shared" si="74"/>
        <v>100721611.03636363</v>
      </c>
      <c r="AR81" s="194"/>
      <c r="AS81" s="194">
        <f t="shared" si="74"/>
        <v>0</v>
      </c>
      <c r="AT81" s="194">
        <f t="shared" si="74"/>
        <v>0</v>
      </c>
      <c r="AU81" s="194"/>
      <c r="AV81" s="194">
        <f t="shared" si="74"/>
        <v>0</v>
      </c>
      <c r="AW81" s="194">
        <f t="shared" si="74"/>
        <v>0</v>
      </c>
      <c r="AX81" s="194">
        <f t="shared" si="74"/>
        <v>0</v>
      </c>
      <c r="AY81" s="194"/>
      <c r="AZ81" s="194">
        <f t="shared" si="74"/>
        <v>0</v>
      </c>
      <c r="BA81" s="194">
        <f t="shared" si="74"/>
        <v>0</v>
      </c>
      <c r="BB81" s="194"/>
      <c r="BC81" s="194">
        <f t="shared" si="74"/>
        <v>0</v>
      </c>
      <c r="BD81" s="194">
        <f t="shared" si="74"/>
        <v>0</v>
      </c>
      <c r="BE81" s="194">
        <f t="shared" si="74"/>
        <v>0</v>
      </c>
      <c r="BF81" s="194"/>
      <c r="BG81" s="194"/>
      <c r="BH81" s="194"/>
      <c r="BI81" s="194"/>
      <c r="BJ81" s="194"/>
      <c r="BK81" s="194"/>
      <c r="BL81" s="194"/>
      <c r="BM81" s="194"/>
      <c r="BN81" s="194">
        <f t="shared" si="74"/>
        <v>0</v>
      </c>
      <c r="BO81" s="194">
        <f t="shared" si="74"/>
        <v>0</v>
      </c>
      <c r="BP81" s="194"/>
      <c r="BQ81" s="194">
        <f t="shared" si="74"/>
        <v>0</v>
      </c>
      <c r="BR81" s="194">
        <f t="shared" si="74"/>
        <v>0</v>
      </c>
      <c r="BS81" s="194">
        <f t="shared" si="74"/>
        <v>0</v>
      </c>
      <c r="BT81" s="194"/>
      <c r="BU81" s="194">
        <f t="shared" si="74"/>
        <v>212774.65</v>
      </c>
      <c r="BV81" s="194">
        <f t="shared" si="74"/>
        <v>0</v>
      </c>
      <c r="BW81" s="243"/>
      <c r="BX81" s="201" t="s">
        <v>395</v>
      </c>
      <c r="BY81" s="193"/>
    </row>
    <row r="82" spans="1:82" ht="20.100000000000001" customHeight="1" x14ac:dyDescent="0.2">
      <c r="A82" s="186">
        <v>13</v>
      </c>
      <c r="B82" s="189"/>
      <c r="C82" s="191" t="s">
        <v>285</v>
      </c>
      <c r="D82" s="190"/>
      <c r="E82" s="190"/>
      <c r="F82" s="190"/>
      <c r="G82" s="191"/>
      <c r="H82" s="191"/>
      <c r="I82" s="192"/>
      <c r="J82" s="194">
        <f t="shared" ref="J82:BV82" si="75">J50</f>
        <v>123191</v>
      </c>
      <c r="K82" s="194">
        <f t="shared" si="75"/>
        <v>-29118.199999999997</v>
      </c>
      <c r="L82" s="194">
        <f t="shared" si="75"/>
        <v>94072.8</v>
      </c>
      <c r="M82" s="194">
        <f t="shared" si="75"/>
        <v>0</v>
      </c>
      <c r="N82" s="194">
        <f t="shared" si="75"/>
        <v>0</v>
      </c>
      <c r="O82" s="194">
        <f t="shared" si="75"/>
        <v>0</v>
      </c>
      <c r="P82" s="194">
        <f t="shared" si="75"/>
        <v>0</v>
      </c>
      <c r="Q82" s="194">
        <f t="shared" si="75"/>
        <v>0</v>
      </c>
      <c r="R82" s="194">
        <f t="shared" si="75"/>
        <v>0</v>
      </c>
      <c r="S82" s="194">
        <f t="shared" si="75"/>
        <v>0</v>
      </c>
      <c r="T82" s="194">
        <f t="shared" si="75"/>
        <v>0</v>
      </c>
      <c r="U82" s="194">
        <f t="shared" si="75"/>
        <v>94072.8</v>
      </c>
      <c r="V82" s="194">
        <f t="shared" si="75"/>
        <v>9770277</v>
      </c>
      <c r="W82" s="194">
        <f t="shared" si="75"/>
        <v>79.309990177853905</v>
      </c>
      <c r="X82" s="194">
        <f t="shared" si="75"/>
        <v>44796.727272727272</v>
      </c>
      <c r="Y82" s="194">
        <f t="shared" si="75"/>
        <v>3501731</v>
      </c>
      <c r="Z82" s="194"/>
      <c r="AA82" s="194">
        <f t="shared" si="75"/>
        <v>78.169348816066105</v>
      </c>
      <c r="AB82" s="194">
        <f t="shared" si="75"/>
        <v>4479.6727272727276</v>
      </c>
      <c r="AC82" s="194">
        <f t="shared" si="75"/>
        <v>93302624</v>
      </c>
      <c r="AD82" s="194"/>
      <c r="AE82" s="194">
        <f t="shared" si="75"/>
        <v>44796.36</v>
      </c>
      <c r="AF82" s="194">
        <f t="shared" si="75"/>
        <v>0</v>
      </c>
      <c r="AG82" s="194"/>
      <c r="AH82" s="194">
        <f t="shared" si="75"/>
        <v>0</v>
      </c>
      <c r="AI82" s="194">
        <f t="shared" si="75"/>
        <v>0</v>
      </c>
      <c r="AJ82" s="194">
        <f t="shared" si="75"/>
        <v>0</v>
      </c>
      <c r="AK82" s="194"/>
      <c r="AL82" s="194">
        <f t="shared" si="75"/>
        <v>0</v>
      </c>
      <c r="AM82" s="194">
        <f t="shared" si="75"/>
        <v>0</v>
      </c>
      <c r="AN82" s="194"/>
      <c r="AO82" s="194">
        <f t="shared" si="75"/>
        <v>0</v>
      </c>
      <c r="AP82" s="194">
        <f t="shared" si="75"/>
        <v>0</v>
      </c>
      <c r="AQ82" s="194">
        <f t="shared" si="75"/>
        <v>0</v>
      </c>
      <c r="AR82" s="194"/>
      <c r="AS82" s="194">
        <f t="shared" si="75"/>
        <v>0</v>
      </c>
      <c r="AT82" s="194">
        <f t="shared" si="75"/>
        <v>0</v>
      </c>
      <c r="AU82" s="194"/>
      <c r="AV82" s="194">
        <f t="shared" si="75"/>
        <v>0</v>
      </c>
      <c r="AW82" s="194">
        <f t="shared" si="75"/>
        <v>0</v>
      </c>
      <c r="AX82" s="194">
        <f t="shared" si="75"/>
        <v>0</v>
      </c>
      <c r="AY82" s="194"/>
      <c r="AZ82" s="194">
        <f t="shared" si="75"/>
        <v>0</v>
      </c>
      <c r="BA82" s="194">
        <f t="shared" si="75"/>
        <v>0</v>
      </c>
      <c r="BB82" s="194"/>
      <c r="BC82" s="194">
        <f t="shared" si="75"/>
        <v>0</v>
      </c>
      <c r="BD82" s="194">
        <f t="shared" si="75"/>
        <v>0</v>
      </c>
      <c r="BE82" s="194">
        <f t="shared" si="75"/>
        <v>0</v>
      </c>
      <c r="BF82" s="194"/>
      <c r="BG82" s="194"/>
      <c r="BH82" s="194"/>
      <c r="BI82" s="194"/>
      <c r="BJ82" s="194"/>
      <c r="BK82" s="194"/>
      <c r="BL82" s="194"/>
      <c r="BM82" s="194"/>
      <c r="BN82" s="194">
        <f t="shared" si="75"/>
        <v>0</v>
      </c>
      <c r="BO82" s="194">
        <f t="shared" si="75"/>
        <v>0</v>
      </c>
      <c r="BP82" s="194"/>
      <c r="BQ82" s="194">
        <f t="shared" si="75"/>
        <v>0</v>
      </c>
      <c r="BR82" s="194">
        <f t="shared" si="75"/>
        <v>0</v>
      </c>
      <c r="BS82" s="194">
        <f t="shared" si="75"/>
        <v>0</v>
      </c>
      <c r="BT82" s="194"/>
      <c r="BU82" s="194">
        <f t="shared" si="75"/>
        <v>94072.760000000009</v>
      </c>
      <c r="BV82" s="194">
        <f t="shared" si="75"/>
        <v>3.9999999993597157E-2</v>
      </c>
      <c r="BW82" s="243"/>
      <c r="BX82" s="201" t="s">
        <v>395</v>
      </c>
      <c r="BY82" s="193"/>
    </row>
    <row r="83" spans="1:82" ht="20.100000000000001" customHeight="1" x14ac:dyDescent="0.2">
      <c r="A83" s="186">
        <v>14</v>
      </c>
      <c r="B83" s="189"/>
      <c r="C83" s="191" t="s">
        <v>282</v>
      </c>
      <c r="D83" s="190"/>
      <c r="E83" s="190"/>
      <c r="F83" s="190"/>
      <c r="G83" s="191"/>
      <c r="H83" s="191"/>
      <c r="I83" s="192"/>
      <c r="J83" s="194">
        <f t="shared" ref="J83:BV83" si="76">J59</f>
        <v>3176</v>
      </c>
      <c r="K83" s="194">
        <f t="shared" si="76"/>
        <v>0</v>
      </c>
      <c r="L83" s="194">
        <f t="shared" si="76"/>
        <v>0</v>
      </c>
      <c r="M83" s="194">
        <f t="shared" si="76"/>
        <v>0</v>
      </c>
      <c r="N83" s="194">
        <f t="shared" si="76"/>
        <v>0</v>
      </c>
      <c r="O83" s="194">
        <f t="shared" si="76"/>
        <v>0</v>
      </c>
      <c r="P83" s="194">
        <f t="shared" si="76"/>
        <v>0</v>
      </c>
      <c r="Q83" s="194">
        <f t="shared" si="76"/>
        <v>0</v>
      </c>
      <c r="R83" s="194">
        <f t="shared" si="76"/>
        <v>0</v>
      </c>
      <c r="S83" s="194">
        <f t="shared" si="76"/>
        <v>0</v>
      </c>
      <c r="T83" s="194">
        <f t="shared" si="76"/>
        <v>0</v>
      </c>
      <c r="U83" s="194">
        <f t="shared" si="76"/>
        <v>3176</v>
      </c>
      <c r="V83" s="194">
        <f t="shared" si="76"/>
        <v>0</v>
      </c>
      <c r="W83" s="194">
        <f t="shared" si="76"/>
        <v>0</v>
      </c>
      <c r="X83" s="194">
        <f t="shared" si="76"/>
        <v>1154.909090909091</v>
      </c>
      <c r="Y83" s="194">
        <f t="shared" si="76"/>
        <v>0</v>
      </c>
      <c r="Z83" s="194"/>
      <c r="AA83" s="194">
        <f t="shared" si="76"/>
        <v>0</v>
      </c>
      <c r="AB83" s="194">
        <f t="shared" si="76"/>
        <v>115.4909090909091</v>
      </c>
      <c r="AC83" s="194">
        <f t="shared" si="76"/>
        <v>26724134.400000002</v>
      </c>
      <c r="AD83" s="194"/>
      <c r="AE83" s="194">
        <f t="shared" si="76"/>
        <v>1732.363636363636</v>
      </c>
      <c r="AF83" s="194">
        <f t="shared" si="76"/>
        <v>0</v>
      </c>
      <c r="AG83" s="194"/>
      <c r="AH83" s="194">
        <f t="shared" si="76"/>
        <v>0</v>
      </c>
      <c r="AI83" s="194">
        <f t="shared" si="76"/>
        <v>173.23636363636362</v>
      </c>
      <c r="AJ83" s="194">
        <f t="shared" si="76"/>
        <v>3644200.145454545</v>
      </c>
      <c r="AK83" s="194"/>
      <c r="AL83" s="194">
        <f t="shared" si="76"/>
        <v>0</v>
      </c>
      <c r="AM83" s="194">
        <f t="shared" si="76"/>
        <v>0</v>
      </c>
      <c r="AN83" s="194"/>
      <c r="AO83" s="194">
        <f t="shared" si="76"/>
        <v>0</v>
      </c>
      <c r="AP83" s="194">
        <f t="shared" si="76"/>
        <v>0</v>
      </c>
      <c r="AQ83" s="194">
        <f t="shared" si="76"/>
        <v>0</v>
      </c>
      <c r="AR83" s="194"/>
      <c r="AS83" s="194">
        <f t="shared" si="76"/>
        <v>0</v>
      </c>
      <c r="AT83" s="194">
        <f t="shared" si="76"/>
        <v>0</v>
      </c>
      <c r="AU83" s="194"/>
      <c r="AV83" s="194">
        <f t="shared" si="76"/>
        <v>0</v>
      </c>
      <c r="AW83" s="194">
        <f t="shared" si="76"/>
        <v>0</v>
      </c>
      <c r="AX83" s="194">
        <f t="shared" si="76"/>
        <v>0</v>
      </c>
      <c r="AY83" s="194"/>
      <c r="AZ83" s="194">
        <f t="shared" si="76"/>
        <v>0</v>
      </c>
      <c r="BA83" s="194">
        <f t="shared" si="76"/>
        <v>0</v>
      </c>
      <c r="BB83" s="194"/>
      <c r="BC83" s="194">
        <f t="shared" si="76"/>
        <v>0</v>
      </c>
      <c r="BD83" s="194">
        <f t="shared" si="76"/>
        <v>0</v>
      </c>
      <c r="BE83" s="194">
        <f t="shared" si="76"/>
        <v>0</v>
      </c>
      <c r="BF83" s="194"/>
      <c r="BG83" s="194"/>
      <c r="BH83" s="194"/>
      <c r="BI83" s="194"/>
      <c r="BJ83" s="194"/>
      <c r="BK83" s="194"/>
      <c r="BL83" s="194"/>
      <c r="BM83" s="194"/>
      <c r="BN83" s="194">
        <f t="shared" si="76"/>
        <v>0</v>
      </c>
      <c r="BO83" s="194">
        <f t="shared" si="76"/>
        <v>0</v>
      </c>
      <c r="BP83" s="194"/>
      <c r="BQ83" s="194">
        <f t="shared" si="76"/>
        <v>0</v>
      </c>
      <c r="BR83" s="194">
        <f t="shared" si="76"/>
        <v>0</v>
      </c>
      <c r="BS83" s="194">
        <f t="shared" si="76"/>
        <v>0</v>
      </c>
      <c r="BT83" s="194"/>
      <c r="BU83" s="194">
        <f t="shared" si="76"/>
        <v>3175.9999999999995</v>
      </c>
      <c r="BV83" s="194">
        <f t="shared" si="76"/>
        <v>0</v>
      </c>
      <c r="BW83" s="243"/>
      <c r="BX83" s="201" t="s">
        <v>395</v>
      </c>
      <c r="BY83" s="193"/>
    </row>
    <row r="84" spans="1:82" ht="20.100000000000001" customHeight="1" x14ac:dyDescent="0.2">
      <c r="A84" s="186">
        <v>15</v>
      </c>
      <c r="B84" s="195"/>
      <c r="C84" s="196" t="s">
        <v>83</v>
      </c>
      <c r="D84" s="197" t="s">
        <v>58</v>
      </c>
      <c r="E84" s="197"/>
      <c r="F84" s="197"/>
      <c r="G84" s="196"/>
      <c r="H84" s="196"/>
      <c r="I84" s="198"/>
      <c r="J84" s="199">
        <f t="shared" ref="J84:BV84" si="77">J52+J31+J57+J62</f>
        <v>100208</v>
      </c>
      <c r="K84" s="199">
        <f t="shared" si="77"/>
        <v>-15091</v>
      </c>
      <c r="L84" s="199">
        <f t="shared" si="77"/>
        <v>56359</v>
      </c>
      <c r="M84" s="199">
        <f t="shared" si="77"/>
        <v>0</v>
      </c>
      <c r="N84" s="199">
        <f t="shared" si="77"/>
        <v>0</v>
      </c>
      <c r="O84" s="199">
        <f t="shared" si="77"/>
        <v>0</v>
      </c>
      <c r="P84" s="199">
        <f t="shared" si="77"/>
        <v>0</v>
      </c>
      <c r="Q84" s="199">
        <f t="shared" si="77"/>
        <v>0</v>
      </c>
      <c r="R84" s="199">
        <f t="shared" si="77"/>
        <v>0</v>
      </c>
      <c r="S84" s="199">
        <f t="shared" si="77"/>
        <v>0</v>
      </c>
      <c r="T84" s="199">
        <f t="shared" si="77"/>
        <v>0</v>
      </c>
      <c r="U84" s="199">
        <f t="shared" si="77"/>
        <v>85117</v>
      </c>
      <c r="V84" s="199">
        <f t="shared" si="77"/>
        <v>8858135.6999999993</v>
      </c>
      <c r="W84" s="199">
        <f t="shared" si="77"/>
        <v>282.77312162162161</v>
      </c>
      <c r="X84" s="199">
        <f t="shared" si="77"/>
        <v>36439.272727272721</v>
      </c>
      <c r="Y84" s="199">
        <f t="shared" si="77"/>
        <v>3227480</v>
      </c>
      <c r="Z84" s="199"/>
      <c r="AA84" s="199">
        <f t="shared" si="77"/>
        <v>283.53002173913046</v>
      </c>
      <c r="AB84" s="199">
        <f t="shared" si="77"/>
        <v>3643.9272727272728</v>
      </c>
      <c r="AC84" s="199">
        <f t="shared" si="77"/>
        <v>76069680.872727275</v>
      </c>
      <c r="AD84" s="199"/>
      <c r="AE84" s="199">
        <f t="shared" si="77"/>
        <v>28654.363636363632</v>
      </c>
      <c r="AF84" s="199">
        <f t="shared" si="77"/>
        <v>2569419</v>
      </c>
      <c r="AG84" s="199"/>
      <c r="AH84" s="199">
        <f t="shared" si="77"/>
        <v>302.23007830022436</v>
      </c>
      <c r="AI84" s="199">
        <f t="shared" si="77"/>
        <v>2864.9363636363632</v>
      </c>
      <c r="AJ84" s="199">
        <f t="shared" si="77"/>
        <v>60211992.218181819</v>
      </c>
      <c r="AK84" s="199"/>
      <c r="AL84" s="199">
        <f t="shared" si="77"/>
        <v>12285.454545454544</v>
      </c>
      <c r="AM84" s="199">
        <f t="shared" si="77"/>
        <v>1296468</v>
      </c>
      <c r="AN84" s="199"/>
      <c r="AO84" s="199">
        <f t="shared" si="77"/>
        <v>209.1851486572173</v>
      </c>
      <c r="AP84" s="199">
        <f t="shared" si="77"/>
        <v>1228.5454545454545</v>
      </c>
      <c r="AQ84" s="199">
        <f t="shared" si="77"/>
        <v>25931500.36363636</v>
      </c>
      <c r="AR84" s="199"/>
      <c r="AS84" s="199">
        <f t="shared" si="77"/>
        <v>0</v>
      </c>
      <c r="AT84" s="199">
        <f t="shared" si="77"/>
        <v>0</v>
      </c>
      <c r="AU84" s="199"/>
      <c r="AV84" s="199">
        <f t="shared" si="77"/>
        <v>0</v>
      </c>
      <c r="AW84" s="199">
        <f t="shared" si="77"/>
        <v>0</v>
      </c>
      <c r="AX84" s="199">
        <f t="shared" si="77"/>
        <v>0</v>
      </c>
      <c r="AY84" s="199"/>
      <c r="AZ84" s="199">
        <f t="shared" si="77"/>
        <v>0</v>
      </c>
      <c r="BA84" s="199">
        <f t="shared" si="77"/>
        <v>0</v>
      </c>
      <c r="BB84" s="199"/>
      <c r="BC84" s="199">
        <f t="shared" si="77"/>
        <v>0</v>
      </c>
      <c r="BD84" s="199">
        <f t="shared" si="77"/>
        <v>0</v>
      </c>
      <c r="BE84" s="199">
        <f t="shared" si="77"/>
        <v>0</v>
      </c>
      <c r="BF84" s="199"/>
      <c r="BG84" s="199"/>
      <c r="BH84" s="199"/>
      <c r="BI84" s="199"/>
      <c r="BJ84" s="199"/>
      <c r="BK84" s="199"/>
      <c r="BL84" s="199"/>
      <c r="BM84" s="199"/>
      <c r="BN84" s="199">
        <f t="shared" si="77"/>
        <v>0</v>
      </c>
      <c r="BO84" s="199">
        <f t="shared" si="77"/>
        <v>0</v>
      </c>
      <c r="BP84" s="199"/>
      <c r="BQ84" s="199">
        <f t="shared" si="77"/>
        <v>0</v>
      </c>
      <c r="BR84" s="199">
        <f t="shared" si="77"/>
        <v>0</v>
      </c>
      <c r="BS84" s="199">
        <f t="shared" si="77"/>
        <v>0</v>
      </c>
      <c r="BT84" s="199"/>
      <c r="BU84" s="199">
        <f t="shared" si="77"/>
        <v>85116.5</v>
      </c>
      <c r="BV84" s="199">
        <f t="shared" si="77"/>
        <v>1.8189894035458565E-12</v>
      </c>
      <c r="BW84" s="244"/>
      <c r="BX84" s="201" t="s">
        <v>395</v>
      </c>
      <c r="BY84" s="193" t="s">
        <v>334</v>
      </c>
    </row>
    <row r="85" spans="1:82" s="162" customFormat="1" ht="20.100000000000001" customHeight="1" x14ac:dyDescent="0.2">
      <c r="A85" s="216"/>
      <c r="B85" s="216"/>
      <c r="C85" s="217" t="s">
        <v>240</v>
      </c>
      <c r="D85" s="218"/>
      <c r="E85" s="218"/>
      <c r="F85" s="218"/>
      <c r="G85" s="217"/>
      <c r="H85" s="217"/>
      <c r="I85" s="219"/>
      <c r="J85" s="220">
        <f>SUM(J70:J84)</f>
        <v>3636358</v>
      </c>
      <c r="K85" s="220">
        <f t="shared" ref="K85:BU85" si="78">SUM(K70:K84)</f>
        <v>318809.79000000004</v>
      </c>
      <c r="L85" s="220">
        <f t="shared" si="78"/>
        <v>2251392.7899999996</v>
      </c>
      <c r="M85" s="220">
        <f t="shared" si="78"/>
        <v>333537</v>
      </c>
      <c r="N85" s="220">
        <f t="shared" si="78"/>
        <v>1764888.9</v>
      </c>
      <c r="O85" s="220">
        <f t="shared" si="78"/>
        <v>54855</v>
      </c>
      <c r="P85" s="220">
        <f t="shared" si="78"/>
        <v>348105</v>
      </c>
      <c r="Q85" s="220">
        <f t="shared" si="78"/>
        <v>5938.9</v>
      </c>
      <c r="R85" s="220">
        <f t="shared" si="78"/>
        <v>91441.9</v>
      </c>
      <c r="S85" s="220">
        <f t="shared" si="78"/>
        <v>4268.29</v>
      </c>
      <c r="T85" s="220">
        <f>SUM(T70:T84)</f>
        <v>95710.189999999988</v>
      </c>
      <c r="U85" s="220">
        <f t="shared" ref="U85:AD85" si="79">SUM(U70:U84)</f>
        <v>4353766.9799999995</v>
      </c>
      <c r="V85" s="220">
        <f t="shared" si="79"/>
        <v>297237285.89999998</v>
      </c>
      <c r="W85" s="220">
        <f t="shared" si="79"/>
        <v>3301.9259902712347</v>
      </c>
      <c r="X85" s="220">
        <f t="shared" si="79"/>
        <v>1365272.3836363638</v>
      </c>
      <c r="Y85" s="220">
        <f t="shared" si="79"/>
        <v>100969836.45454545</v>
      </c>
      <c r="Z85" s="220">
        <f t="shared" si="79"/>
        <v>0</v>
      </c>
      <c r="AA85" s="220">
        <f t="shared" si="79"/>
        <v>3247.3342861927954</v>
      </c>
      <c r="AB85" s="220">
        <f t="shared" si="79"/>
        <v>81589.038363636369</v>
      </c>
      <c r="AC85" s="220">
        <f t="shared" si="79"/>
        <v>1559228551.2596364</v>
      </c>
      <c r="AD85" s="220">
        <f t="shared" si="79"/>
        <v>0</v>
      </c>
      <c r="AE85" s="220">
        <f t="shared" si="78"/>
        <v>1172176.5554545452</v>
      </c>
      <c r="AF85" s="220">
        <f t="shared" si="78"/>
        <v>90689237.61454545</v>
      </c>
      <c r="AG85" s="220">
        <f t="shared" si="78"/>
        <v>0</v>
      </c>
      <c r="AH85" s="220" t="e">
        <f t="shared" si="78"/>
        <v>#VALUE!</v>
      </c>
      <c r="AI85" s="220">
        <f t="shared" si="78"/>
        <v>104960.49954545454</v>
      </c>
      <c r="AJ85" s="220">
        <f t="shared" si="78"/>
        <v>2066994159.4638183</v>
      </c>
      <c r="AK85" s="220">
        <f t="shared" si="78"/>
        <v>0</v>
      </c>
      <c r="AL85" s="220">
        <f t="shared" si="78"/>
        <v>671807.63000000012</v>
      </c>
      <c r="AM85" s="220">
        <f t="shared" si="78"/>
        <v>56946835.607272729</v>
      </c>
      <c r="AN85" s="220">
        <f t="shared" si="78"/>
        <v>0</v>
      </c>
      <c r="AO85" s="220">
        <f t="shared" si="78"/>
        <v>2686.9638460770343</v>
      </c>
      <c r="AP85" s="220">
        <f t="shared" si="78"/>
        <v>67180.763000000021</v>
      </c>
      <c r="AQ85" s="220">
        <f t="shared" si="78"/>
        <v>1202409147.0701816</v>
      </c>
      <c r="AR85" s="220">
        <f t="shared" si="78"/>
        <v>0</v>
      </c>
      <c r="AS85" s="220">
        <f t="shared" si="78"/>
        <v>162967.41272727272</v>
      </c>
      <c r="AT85" s="220">
        <f t="shared" si="78"/>
        <v>12310269</v>
      </c>
      <c r="AU85" s="220">
        <f t="shared" si="78"/>
        <v>0</v>
      </c>
      <c r="AV85" s="220">
        <f t="shared" si="78"/>
        <v>797.8249639263521</v>
      </c>
      <c r="AW85" s="220">
        <f t="shared" si="78"/>
        <v>16296.741272727273</v>
      </c>
      <c r="AX85" s="220">
        <f t="shared" si="78"/>
        <v>258300653.7010909</v>
      </c>
      <c r="AY85" s="220">
        <f t="shared" si="78"/>
        <v>0</v>
      </c>
      <c r="AZ85" s="220">
        <f t="shared" si="78"/>
        <v>227917.95454545453</v>
      </c>
      <c r="BA85" s="220">
        <f t="shared" si="78"/>
        <v>17149395</v>
      </c>
      <c r="BB85" s="220">
        <f t="shared" si="78"/>
        <v>0</v>
      </c>
      <c r="BC85" s="220">
        <f t="shared" si="78"/>
        <v>411.55007924472261</v>
      </c>
      <c r="BD85" s="220">
        <f t="shared" si="78"/>
        <v>22791.795454545452</v>
      </c>
      <c r="BE85" s="220">
        <f t="shared" si="78"/>
        <v>355262909.18181819</v>
      </c>
      <c r="BF85" s="220">
        <f t="shared" si="78"/>
        <v>0</v>
      </c>
      <c r="BG85" s="220"/>
      <c r="BH85" s="220"/>
      <c r="BI85" s="220"/>
      <c r="BJ85" s="220"/>
      <c r="BK85" s="220"/>
      <c r="BL85" s="220"/>
      <c r="BM85" s="220"/>
      <c r="BN85" s="220">
        <f t="shared" si="78"/>
        <v>150188.17636363636</v>
      </c>
      <c r="BO85" s="220">
        <f t="shared" si="78"/>
        <v>15137781</v>
      </c>
      <c r="BP85" s="220">
        <f t="shared" si="78"/>
        <v>0</v>
      </c>
      <c r="BQ85" s="220">
        <f t="shared" si="78"/>
        <v>1404.2862819304019</v>
      </c>
      <c r="BR85" s="220">
        <f t="shared" si="78"/>
        <v>14518.318636363636</v>
      </c>
      <c r="BS85" s="220">
        <f t="shared" si="78"/>
        <v>300027200.96727276</v>
      </c>
      <c r="BT85" s="220">
        <f t="shared" si="78"/>
        <v>0</v>
      </c>
      <c r="BU85" s="220">
        <f t="shared" si="78"/>
        <v>4110851.8689999999</v>
      </c>
      <c r="BV85" s="220">
        <f>SUM(BV70:BV84)</f>
        <v>242914.61099999998</v>
      </c>
      <c r="BW85" s="245"/>
      <c r="BX85" s="221"/>
      <c r="BY85" s="221"/>
      <c r="BZ85" s="172"/>
      <c r="CA85" s="173"/>
    </row>
    <row r="86" spans="1:82" s="162" customFormat="1" ht="20.100000000000001" customHeight="1" x14ac:dyDescent="0.2">
      <c r="A86" s="265"/>
      <c r="B86" s="265"/>
      <c r="C86" s="266"/>
      <c r="D86" s="267"/>
      <c r="E86" s="267"/>
      <c r="F86" s="267"/>
      <c r="G86" s="266"/>
      <c r="H86" s="266"/>
      <c r="I86" s="268"/>
      <c r="J86" s="269"/>
      <c r="K86" s="269"/>
      <c r="L86" s="269"/>
      <c r="M86" s="269"/>
      <c r="N86" s="269"/>
      <c r="O86" s="269"/>
      <c r="P86" s="269"/>
      <c r="Q86" s="269"/>
      <c r="R86" s="269"/>
      <c r="S86" s="269"/>
      <c r="T86" s="269"/>
      <c r="U86" s="269"/>
      <c r="V86" s="269"/>
      <c r="W86" s="269"/>
      <c r="X86" s="269"/>
      <c r="Y86" s="269"/>
      <c r="Z86" s="269"/>
      <c r="AA86" s="269"/>
      <c r="AB86" s="269"/>
      <c r="AC86" s="269"/>
      <c r="AD86" s="269"/>
      <c r="AE86" s="269"/>
      <c r="AF86" s="269"/>
      <c r="AG86" s="269"/>
      <c r="AH86" s="269"/>
      <c r="AI86" s="269"/>
      <c r="AJ86" s="269"/>
      <c r="AK86" s="269"/>
      <c r="AL86" s="269"/>
      <c r="AM86" s="269"/>
      <c r="AN86" s="269"/>
      <c r="AO86" s="269"/>
      <c r="AP86" s="269"/>
      <c r="AQ86" s="269"/>
      <c r="AR86" s="269"/>
      <c r="AS86" s="269"/>
      <c r="AT86" s="269"/>
      <c r="AU86" s="269"/>
      <c r="AV86" s="269"/>
      <c r="AW86" s="269"/>
      <c r="AX86" s="269"/>
      <c r="AY86" s="269"/>
      <c r="AZ86" s="269"/>
      <c r="BA86" s="269"/>
      <c r="BB86" s="269"/>
      <c r="BC86" s="269"/>
      <c r="BD86" s="269"/>
      <c r="BE86" s="269"/>
      <c r="BF86" s="269"/>
      <c r="BG86" s="269"/>
      <c r="BH86" s="269"/>
      <c r="BI86" s="269"/>
      <c r="BJ86" s="269"/>
      <c r="BK86" s="269"/>
      <c r="BL86" s="269"/>
      <c r="BM86" s="269"/>
      <c r="BN86" s="269"/>
      <c r="BO86" s="269"/>
      <c r="BP86" s="269"/>
      <c r="BQ86" s="269"/>
      <c r="BR86" s="269"/>
      <c r="BS86" s="269"/>
      <c r="BT86" s="269"/>
      <c r="BU86" s="269"/>
      <c r="BV86" s="269"/>
      <c r="BW86" s="269"/>
      <c r="BX86" s="270"/>
      <c r="BY86" s="270"/>
      <c r="BZ86" s="172"/>
      <c r="CA86" s="173"/>
    </row>
    <row r="87" spans="1:82" s="162" customFormat="1" ht="20.100000000000001" customHeight="1" x14ac:dyDescent="0.2">
      <c r="A87" s="265"/>
      <c r="B87" s="265"/>
      <c r="C87" s="266"/>
      <c r="D87" s="267"/>
      <c r="E87" s="267"/>
      <c r="F87" s="267"/>
      <c r="G87" s="266"/>
      <c r="H87" s="266"/>
      <c r="I87" s="268"/>
      <c r="J87" s="269"/>
      <c r="K87" s="269"/>
      <c r="L87" s="269"/>
      <c r="M87" s="269"/>
      <c r="N87" s="269"/>
      <c r="O87" s="269"/>
      <c r="P87" s="269"/>
      <c r="Q87" s="269"/>
      <c r="R87" s="269"/>
      <c r="S87" s="269"/>
      <c r="T87" s="269"/>
      <c r="U87" s="269"/>
      <c r="V87" s="269"/>
      <c r="W87" s="269"/>
      <c r="X87" s="269"/>
      <c r="Y87" s="269"/>
      <c r="Z87" s="269"/>
      <c r="AA87" s="269"/>
      <c r="AB87" s="269"/>
      <c r="AC87" s="269"/>
      <c r="AD87" s="269"/>
      <c r="AE87" s="269"/>
      <c r="AF87" s="269"/>
      <c r="AG87" s="269"/>
      <c r="AH87" s="269"/>
      <c r="AI87" s="269"/>
      <c r="AJ87" s="269"/>
      <c r="AK87" s="269"/>
      <c r="AL87" s="269"/>
      <c r="AM87" s="269"/>
      <c r="AN87" s="269"/>
      <c r="AO87" s="269"/>
      <c r="AP87" s="269"/>
      <c r="AQ87" s="269"/>
      <c r="AR87" s="269"/>
      <c r="AS87" s="269"/>
      <c r="AT87" s="269"/>
      <c r="AU87" s="269"/>
      <c r="AV87" s="269"/>
      <c r="AW87" s="269"/>
      <c r="AX87" s="269"/>
      <c r="AY87" s="269"/>
      <c r="AZ87" s="269"/>
      <c r="BA87" s="269"/>
      <c r="BB87" s="269"/>
      <c r="BC87" s="269"/>
      <c r="BD87" s="269"/>
      <c r="BE87" s="269"/>
      <c r="BF87" s="269"/>
      <c r="BG87" s="269"/>
      <c r="BH87" s="269"/>
      <c r="BI87" s="269"/>
      <c r="BJ87" s="269"/>
      <c r="BK87" s="269"/>
      <c r="BL87" s="269"/>
      <c r="BM87" s="269"/>
      <c r="BN87" s="269"/>
      <c r="BO87" s="269"/>
      <c r="BP87" s="269"/>
      <c r="BQ87" s="269"/>
      <c r="BR87" s="269"/>
      <c r="BS87" s="269"/>
      <c r="BT87" s="269"/>
      <c r="BU87" s="269"/>
      <c r="BV87" s="292">
        <f>BV70-20678.9</f>
        <v>169051.101</v>
      </c>
      <c r="BW87" s="269"/>
      <c r="BX87" s="270"/>
      <c r="BY87" s="270"/>
      <c r="BZ87" s="172"/>
      <c r="CA87" s="173"/>
    </row>
    <row r="88" spans="1:82" s="162" customFormat="1" ht="20.100000000000001" customHeight="1" x14ac:dyDescent="0.2">
      <c r="A88" s="265"/>
      <c r="B88" s="265"/>
      <c r="C88" s="266"/>
      <c r="D88" s="267"/>
      <c r="E88" s="267"/>
      <c r="F88" s="267"/>
      <c r="G88" s="266"/>
      <c r="H88" s="266"/>
      <c r="I88" s="268"/>
      <c r="J88" s="269"/>
      <c r="K88" s="269"/>
      <c r="L88" s="269"/>
      <c r="M88" s="269"/>
      <c r="N88" s="269"/>
      <c r="O88" s="269"/>
      <c r="P88" s="269"/>
      <c r="Q88" s="269"/>
      <c r="R88" s="269"/>
      <c r="S88" s="269"/>
      <c r="T88" s="269"/>
      <c r="U88" s="269"/>
      <c r="V88" s="269"/>
      <c r="W88" s="269"/>
      <c r="X88" s="269"/>
      <c r="Y88" s="269"/>
      <c r="Z88" s="269"/>
      <c r="AA88" s="269"/>
      <c r="AB88" s="269"/>
      <c r="AC88" s="269"/>
      <c r="AD88" s="269"/>
      <c r="AE88" s="269"/>
      <c r="AF88" s="269"/>
      <c r="AG88" s="269"/>
      <c r="AH88" s="269"/>
      <c r="AI88" s="269"/>
      <c r="AJ88" s="269"/>
      <c r="AK88" s="269"/>
      <c r="AL88" s="269"/>
      <c r="AM88" s="269"/>
      <c r="AN88" s="269"/>
      <c r="AO88" s="269"/>
      <c r="AP88" s="269"/>
      <c r="AQ88" s="269"/>
      <c r="AR88" s="269"/>
      <c r="AS88" s="269"/>
      <c r="AT88" s="269"/>
      <c r="AU88" s="269"/>
      <c r="AV88" s="269"/>
      <c r="AW88" s="269"/>
      <c r="AX88" s="269"/>
      <c r="AY88" s="269"/>
      <c r="AZ88" s="269"/>
      <c r="BA88" s="269"/>
      <c r="BB88" s="269"/>
      <c r="BC88" s="269"/>
      <c r="BD88" s="269"/>
      <c r="BE88" s="269"/>
      <c r="BF88" s="269"/>
      <c r="BG88" s="269"/>
      <c r="BH88" s="269"/>
      <c r="BI88" s="269"/>
      <c r="BJ88" s="269"/>
      <c r="BK88" s="269"/>
      <c r="BL88" s="269"/>
      <c r="BM88" s="269"/>
      <c r="BN88" s="269"/>
      <c r="BO88" s="269"/>
      <c r="BP88" s="269"/>
      <c r="BQ88" s="269"/>
      <c r="BR88" s="269"/>
      <c r="BS88" s="269"/>
      <c r="BT88" s="269"/>
      <c r="BU88" s="269"/>
      <c r="BV88" s="292">
        <f>9957+14300+16500+2533.6+4398.4+19250+19250+8368.6+8368+50050+50050+4216.4+4217+12980+12980</f>
        <v>237419</v>
      </c>
      <c r="BW88" s="269"/>
      <c r="BX88" s="270"/>
      <c r="BY88" s="270"/>
      <c r="BZ88" s="172"/>
      <c r="CA88" s="173"/>
    </row>
    <row r="89" spans="1:82" s="162" customFormat="1" ht="20.100000000000001" customHeight="1" x14ac:dyDescent="0.2">
      <c r="A89" s="265"/>
      <c r="B89" s="265"/>
      <c r="C89" s="266"/>
      <c r="D89" s="267"/>
      <c r="E89" s="267"/>
      <c r="F89" s="267"/>
      <c r="G89" s="266"/>
      <c r="H89" s="266"/>
      <c r="I89" s="268"/>
      <c r="J89" s="269"/>
      <c r="K89" s="269"/>
      <c r="L89" s="269"/>
      <c r="M89" s="269"/>
      <c r="N89" s="269"/>
      <c r="O89" s="269"/>
      <c r="P89" s="269"/>
      <c r="Q89" s="269"/>
      <c r="R89" s="269"/>
      <c r="S89" s="269"/>
      <c r="T89" s="269"/>
      <c r="U89" s="269"/>
      <c r="V89" s="269"/>
      <c r="W89" s="269"/>
      <c r="X89" s="269"/>
      <c r="Y89" s="269"/>
      <c r="Z89" s="269"/>
      <c r="AA89" s="269"/>
      <c r="AB89" s="269"/>
      <c r="AC89" s="269"/>
      <c r="AD89" s="269"/>
      <c r="AE89" s="269"/>
      <c r="AF89" s="269"/>
      <c r="AG89" s="269"/>
      <c r="AH89" s="269"/>
      <c r="AI89" s="269"/>
      <c r="AJ89" s="269"/>
      <c r="AK89" s="269"/>
      <c r="AL89" s="269"/>
      <c r="AM89" s="269"/>
      <c r="AN89" s="269"/>
      <c r="AO89" s="269"/>
      <c r="AP89" s="269"/>
      <c r="AQ89" s="269"/>
      <c r="AR89" s="269"/>
      <c r="AS89" s="269"/>
      <c r="AT89" s="269"/>
      <c r="AU89" s="269"/>
      <c r="AV89" s="269"/>
      <c r="AW89" s="269"/>
      <c r="AX89" s="269"/>
      <c r="AY89" s="269"/>
      <c r="AZ89" s="269"/>
      <c r="BA89" s="269"/>
      <c r="BB89" s="269"/>
      <c r="BC89" s="269"/>
      <c r="BD89" s="269"/>
      <c r="BE89" s="269"/>
      <c r="BF89" s="269"/>
      <c r="BG89" s="269"/>
      <c r="BH89" s="269"/>
      <c r="BI89" s="269"/>
      <c r="BJ89" s="269"/>
      <c r="BK89" s="269"/>
      <c r="BL89" s="269"/>
      <c r="BM89" s="269"/>
      <c r="BN89" s="269"/>
      <c r="BO89" s="269"/>
      <c r="BP89" s="269"/>
      <c r="BQ89" s="269"/>
      <c r="BR89" s="269"/>
      <c r="BS89" s="269"/>
      <c r="BT89" s="269"/>
      <c r="BU89" s="269"/>
      <c r="BV89" s="269">
        <f>BV51+BV43+BV36+BV25+14300</f>
        <v>14300.002</v>
      </c>
      <c r="BW89" s="269"/>
      <c r="BX89" s="270"/>
      <c r="BY89" s="270"/>
      <c r="BZ89" s="172"/>
      <c r="CA89" s="173"/>
    </row>
    <row r="90" spans="1:82" s="162" customFormat="1" ht="20.100000000000001" customHeight="1" x14ac:dyDescent="0.2">
      <c r="A90" s="265"/>
      <c r="B90" s="265"/>
      <c r="C90" s="266"/>
      <c r="D90" s="267"/>
      <c r="E90" s="267"/>
      <c r="F90" s="267"/>
      <c r="G90" s="266"/>
      <c r="H90" s="266"/>
      <c r="I90" s="268"/>
      <c r="J90" s="269"/>
      <c r="K90" s="269"/>
      <c r="L90" s="269"/>
      <c r="M90" s="269"/>
      <c r="N90" s="269"/>
      <c r="O90" s="269"/>
      <c r="P90" s="269"/>
      <c r="Q90" s="269"/>
      <c r="R90" s="269"/>
      <c r="S90" s="269"/>
      <c r="T90" s="269"/>
      <c r="U90" s="269"/>
      <c r="V90" s="269"/>
      <c r="W90" s="269"/>
      <c r="X90" s="269"/>
      <c r="Y90" s="269"/>
      <c r="Z90" s="269"/>
      <c r="AA90" s="269"/>
      <c r="AB90" s="269"/>
      <c r="AC90" s="269"/>
      <c r="AD90" s="269"/>
      <c r="AE90" s="269"/>
      <c r="AF90" s="269"/>
      <c r="AG90" s="269"/>
      <c r="AH90" s="269"/>
      <c r="AI90" s="269"/>
      <c r="AJ90" s="269"/>
      <c r="AK90" s="269"/>
      <c r="AL90" s="269"/>
      <c r="AM90" s="269"/>
      <c r="AN90" s="269"/>
      <c r="AO90" s="269"/>
      <c r="AP90" s="269"/>
      <c r="AQ90" s="269"/>
      <c r="AR90" s="269"/>
      <c r="AS90" s="269"/>
      <c r="AT90" s="269"/>
      <c r="AU90" s="269"/>
      <c r="AV90" s="269"/>
      <c r="AW90" s="269"/>
      <c r="AX90" s="269"/>
      <c r="AY90" s="269"/>
      <c r="AZ90" s="269"/>
      <c r="BA90" s="269"/>
      <c r="BB90" s="269"/>
      <c r="BC90" s="269"/>
      <c r="BD90" s="269"/>
      <c r="BE90" s="269"/>
      <c r="BF90" s="269"/>
      <c r="BG90" s="269"/>
      <c r="BH90" s="269"/>
      <c r="BI90" s="269"/>
      <c r="BJ90" s="269"/>
      <c r="BK90" s="269"/>
      <c r="BL90" s="269"/>
      <c r="BM90" s="269"/>
      <c r="BN90" s="269"/>
      <c r="BO90" s="269"/>
      <c r="BP90" s="269"/>
      <c r="BQ90" s="269"/>
      <c r="BR90" s="269"/>
      <c r="BS90" s="269"/>
      <c r="BT90" s="269"/>
      <c r="BU90" s="269"/>
      <c r="BV90" s="269">
        <f>BV88-BV89</f>
        <v>223118.99799999999</v>
      </c>
      <c r="BW90" s="269"/>
      <c r="BX90" s="270"/>
      <c r="BY90" s="270"/>
      <c r="BZ90" s="172"/>
      <c r="CA90" s="173"/>
    </row>
    <row r="91" spans="1:82" s="162" customFormat="1" ht="20.100000000000001" hidden="1" customHeight="1" x14ac:dyDescent="0.2">
      <c r="A91" s="161" t="s">
        <v>369</v>
      </c>
      <c r="B91" s="250"/>
      <c r="D91" s="161"/>
      <c r="E91" s="161"/>
      <c r="F91" s="161"/>
      <c r="I91" s="251"/>
      <c r="J91" s="182"/>
      <c r="K91" s="182"/>
      <c r="L91" s="182"/>
      <c r="M91" s="182"/>
      <c r="N91" s="182"/>
      <c r="O91" s="182"/>
      <c r="P91" s="182"/>
      <c r="Q91" s="182"/>
      <c r="R91" s="182"/>
      <c r="S91" s="182"/>
      <c r="T91" s="182"/>
      <c r="U91" s="182"/>
      <c r="V91" s="182"/>
      <c r="W91" s="183"/>
      <c r="X91" s="183"/>
      <c r="Y91" s="182"/>
      <c r="Z91" s="252"/>
      <c r="AA91" s="183"/>
      <c r="AB91" s="183"/>
      <c r="AC91" s="182"/>
      <c r="AD91" s="182"/>
      <c r="AE91" s="183"/>
      <c r="AF91" s="182"/>
      <c r="AG91" s="182"/>
      <c r="AH91" s="183"/>
      <c r="AI91" s="183"/>
      <c r="AJ91" s="182"/>
      <c r="AK91" s="182"/>
      <c r="AL91" s="183"/>
      <c r="AM91" s="182"/>
      <c r="AN91" s="182"/>
      <c r="AO91" s="183"/>
      <c r="AP91" s="183"/>
      <c r="AQ91" s="182"/>
      <c r="AR91" s="182"/>
      <c r="AS91" s="183"/>
      <c r="AT91" s="182"/>
      <c r="AU91" s="182"/>
      <c r="AV91" s="183"/>
      <c r="AW91" s="183"/>
      <c r="AX91" s="182"/>
      <c r="AY91" s="182"/>
      <c r="AZ91" s="183"/>
      <c r="BA91" s="182"/>
      <c r="BB91" s="182"/>
      <c r="BC91" s="183"/>
      <c r="BD91" s="183"/>
      <c r="BE91" s="182"/>
      <c r="BF91" s="182"/>
      <c r="BG91" s="182"/>
      <c r="BH91" s="182"/>
      <c r="BI91" s="182"/>
      <c r="BJ91" s="182"/>
      <c r="BK91" s="182"/>
      <c r="BL91" s="182"/>
      <c r="BM91" s="182"/>
      <c r="BN91" s="183"/>
      <c r="BO91" s="182"/>
      <c r="BP91" s="183"/>
      <c r="BQ91" s="183"/>
      <c r="BR91" s="183"/>
      <c r="BS91" s="182"/>
      <c r="BT91" s="183"/>
      <c r="BU91" s="183"/>
      <c r="BV91" s="172"/>
      <c r="BW91" s="232"/>
      <c r="BX91" s="172"/>
      <c r="BY91" s="172"/>
      <c r="BZ91" s="172"/>
      <c r="CA91" s="173"/>
    </row>
    <row r="92" spans="1:82" ht="20.100000000000001" hidden="1" customHeight="1" x14ac:dyDescent="0.2"/>
    <row r="93" spans="1:82" s="13" customFormat="1" ht="19.5" hidden="1" customHeight="1" x14ac:dyDescent="0.2">
      <c r="A93" s="365" t="s">
        <v>0</v>
      </c>
      <c r="B93" s="368"/>
      <c r="C93" s="370" t="s">
        <v>20</v>
      </c>
      <c r="D93" s="365" t="s">
        <v>21</v>
      </c>
      <c r="E93" s="365" t="s">
        <v>22</v>
      </c>
      <c r="F93" s="365" t="s">
        <v>23</v>
      </c>
      <c r="G93" s="370" t="s">
        <v>49</v>
      </c>
      <c r="H93" s="372" t="s">
        <v>42</v>
      </c>
      <c r="I93" s="365" t="s">
        <v>25</v>
      </c>
      <c r="J93" s="309" t="s">
        <v>235</v>
      </c>
      <c r="K93" s="310"/>
      <c r="L93" s="310"/>
      <c r="M93" s="310"/>
      <c r="N93" s="310"/>
      <c r="O93" s="310"/>
      <c r="P93" s="310"/>
      <c r="Q93" s="310"/>
      <c r="R93" s="310"/>
      <c r="S93" s="310"/>
      <c r="T93" s="310"/>
      <c r="U93" s="310"/>
      <c r="V93" s="311"/>
      <c r="W93" s="312" t="s">
        <v>92</v>
      </c>
      <c r="X93" s="315" t="s">
        <v>24</v>
      </c>
      <c r="Y93" s="316"/>
      <c r="Z93" s="316"/>
      <c r="AA93" s="316"/>
      <c r="AB93" s="316"/>
      <c r="AC93" s="316"/>
      <c r="AD93" s="316"/>
      <c r="AE93" s="316"/>
      <c r="AF93" s="316"/>
      <c r="AG93" s="316"/>
      <c r="AH93" s="316"/>
      <c r="AI93" s="316"/>
      <c r="AJ93" s="316"/>
      <c r="AK93" s="316"/>
      <c r="AL93" s="316"/>
      <c r="AM93" s="316"/>
      <c r="AN93" s="316"/>
      <c r="AO93" s="316"/>
      <c r="AP93" s="316"/>
      <c r="AQ93" s="316"/>
      <c r="AR93" s="316"/>
      <c r="AS93" s="316"/>
      <c r="AT93" s="316"/>
      <c r="AU93" s="316"/>
      <c r="AV93" s="316"/>
      <c r="AW93" s="316"/>
      <c r="AX93" s="316"/>
      <c r="AY93" s="316"/>
      <c r="AZ93" s="316"/>
      <c r="BA93" s="316"/>
      <c r="BB93" s="316"/>
      <c r="BC93" s="316"/>
      <c r="BD93" s="316"/>
      <c r="BE93" s="316"/>
      <c r="BF93" s="316"/>
      <c r="BG93" s="316"/>
      <c r="BH93" s="316"/>
      <c r="BI93" s="316"/>
      <c r="BJ93" s="316"/>
      <c r="BK93" s="316"/>
      <c r="BL93" s="316"/>
      <c r="BM93" s="316"/>
      <c r="BN93" s="316"/>
      <c r="BO93" s="316"/>
      <c r="BP93" s="316"/>
      <c r="BQ93" s="316"/>
      <c r="BR93" s="316"/>
      <c r="BS93" s="316"/>
      <c r="BT93" s="317"/>
      <c r="BU93" s="318" t="s">
        <v>327</v>
      </c>
      <c r="BV93" s="360" t="s">
        <v>384</v>
      </c>
      <c r="BW93" s="233"/>
      <c r="BX93" s="347" t="s">
        <v>299</v>
      </c>
      <c r="BY93" s="347" t="s">
        <v>319</v>
      </c>
      <c r="BZ93" s="350" t="s">
        <v>91</v>
      </c>
      <c r="CA93" s="353" t="s">
        <v>90</v>
      </c>
      <c r="CB93" s="297" t="s">
        <v>51</v>
      </c>
      <c r="CC93" s="306" t="s">
        <v>266</v>
      </c>
      <c r="CD93" s="249"/>
    </row>
    <row r="94" spans="1:82" s="13" customFormat="1" ht="20.100000000000001" hidden="1" customHeight="1" x14ac:dyDescent="0.2">
      <c r="A94" s="366"/>
      <c r="B94" s="369"/>
      <c r="C94" s="371"/>
      <c r="D94" s="366"/>
      <c r="E94" s="366"/>
      <c r="F94" s="366"/>
      <c r="G94" s="371"/>
      <c r="H94" s="373"/>
      <c r="I94" s="366"/>
      <c r="J94" s="363" t="s">
        <v>236</v>
      </c>
      <c r="K94" s="329" t="s">
        <v>242</v>
      </c>
      <c r="L94" s="330"/>
      <c r="M94" s="331" t="s">
        <v>237</v>
      </c>
      <c r="N94" s="332"/>
      <c r="O94" s="333" t="s">
        <v>238</v>
      </c>
      <c r="P94" s="334"/>
      <c r="Q94" s="337" t="s">
        <v>244</v>
      </c>
      <c r="R94" s="338"/>
      <c r="S94" s="333" t="s">
        <v>245</v>
      </c>
      <c r="T94" s="334"/>
      <c r="U94" s="339" t="s">
        <v>333</v>
      </c>
      <c r="V94" s="327" t="s">
        <v>68</v>
      </c>
      <c r="W94" s="313"/>
      <c r="X94" s="341" t="s">
        <v>65</v>
      </c>
      <c r="Y94" s="342"/>
      <c r="Z94" s="342"/>
      <c r="AA94" s="342"/>
      <c r="AB94" s="342"/>
      <c r="AC94" s="342"/>
      <c r="AD94" s="343"/>
      <c r="AE94" s="344" t="s">
        <v>185</v>
      </c>
      <c r="AF94" s="345"/>
      <c r="AG94" s="345"/>
      <c r="AH94" s="345"/>
      <c r="AI94" s="345"/>
      <c r="AJ94" s="345"/>
      <c r="AK94" s="346"/>
      <c r="AL94" s="344" t="s">
        <v>184</v>
      </c>
      <c r="AM94" s="345"/>
      <c r="AN94" s="345"/>
      <c r="AO94" s="345"/>
      <c r="AP94" s="345"/>
      <c r="AQ94" s="345"/>
      <c r="AR94" s="346"/>
      <c r="AS94" s="344" t="s">
        <v>233</v>
      </c>
      <c r="AT94" s="345"/>
      <c r="AU94" s="345"/>
      <c r="AV94" s="345"/>
      <c r="AW94" s="345"/>
      <c r="AX94" s="345"/>
      <c r="AY94" s="346"/>
      <c r="AZ94" s="344" t="s">
        <v>234</v>
      </c>
      <c r="BA94" s="345"/>
      <c r="BB94" s="345"/>
      <c r="BC94" s="345"/>
      <c r="BD94" s="345"/>
      <c r="BE94" s="345"/>
      <c r="BF94" s="346"/>
      <c r="BG94" s="278"/>
      <c r="BH94" s="278"/>
      <c r="BI94" s="278"/>
      <c r="BJ94" s="278"/>
      <c r="BK94" s="278"/>
      <c r="BL94" s="278"/>
      <c r="BM94" s="278"/>
      <c r="BN94" s="344" t="s">
        <v>66</v>
      </c>
      <c r="BO94" s="345"/>
      <c r="BP94" s="345"/>
      <c r="BQ94" s="345"/>
      <c r="BR94" s="345"/>
      <c r="BS94" s="345"/>
      <c r="BT94" s="346"/>
      <c r="BU94" s="319"/>
      <c r="BV94" s="361"/>
      <c r="BW94" s="234"/>
      <c r="BX94" s="348"/>
      <c r="BY94" s="348"/>
      <c r="BZ94" s="351"/>
      <c r="CA94" s="354"/>
      <c r="CB94" s="298"/>
      <c r="CC94" s="307"/>
    </row>
    <row r="95" spans="1:82" s="13" customFormat="1" ht="48.75" hidden="1" customHeight="1" x14ac:dyDescent="0.2">
      <c r="A95" s="367"/>
      <c r="B95" s="366"/>
      <c r="C95" s="367"/>
      <c r="D95" s="367"/>
      <c r="E95" s="367"/>
      <c r="F95" s="367"/>
      <c r="G95" s="367"/>
      <c r="H95" s="366"/>
      <c r="I95" s="367"/>
      <c r="J95" s="364"/>
      <c r="K95" s="90" t="s">
        <v>239</v>
      </c>
      <c r="L95" s="90" t="s">
        <v>240</v>
      </c>
      <c r="M95" s="93" t="s">
        <v>239</v>
      </c>
      <c r="N95" s="93" t="s">
        <v>240</v>
      </c>
      <c r="O95" s="97" t="s">
        <v>239</v>
      </c>
      <c r="P95" s="97" t="s">
        <v>240</v>
      </c>
      <c r="Q95" s="102" t="s">
        <v>239</v>
      </c>
      <c r="R95" s="102" t="s">
        <v>240</v>
      </c>
      <c r="S95" s="97" t="s">
        <v>239</v>
      </c>
      <c r="T95" s="97" t="s">
        <v>240</v>
      </c>
      <c r="U95" s="340"/>
      <c r="V95" s="328"/>
      <c r="W95" s="314"/>
      <c r="X95" s="23" t="s">
        <v>73</v>
      </c>
      <c r="Y95" s="24" t="s">
        <v>67</v>
      </c>
      <c r="Z95" s="52" t="s">
        <v>147</v>
      </c>
      <c r="AA95" s="23" t="s">
        <v>92</v>
      </c>
      <c r="AB95" s="23" t="s">
        <v>72</v>
      </c>
      <c r="AC95" s="24" t="s">
        <v>69</v>
      </c>
      <c r="AD95" s="24" t="s">
        <v>148</v>
      </c>
      <c r="AE95" s="25" t="s">
        <v>70</v>
      </c>
      <c r="AF95" s="26" t="s">
        <v>71</v>
      </c>
      <c r="AG95" s="26" t="s">
        <v>147</v>
      </c>
      <c r="AH95" s="25" t="s">
        <v>92</v>
      </c>
      <c r="AI95" s="25" t="s">
        <v>72</v>
      </c>
      <c r="AJ95" s="26" t="s">
        <v>69</v>
      </c>
      <c r="AK95" s="26" t="s">
        <v>148</v>
      </c>
      <c r="AL95" s="25" t="s">
        <v>70</v>
      </c>
      <c r="AM95" s="26" t="s">
        <v>71</v>
      </c>
      <c r="AN95" s="26" t="s">
        <v>147</v>
      </c>
      <c r="AO95" s="25" t="s">
        <v>92</v>
      </c>
      <c r="AP95" s="25" t="s">
        <v>72</v>
      </c>
      <c r="AQ95" s="26" t="s">
        <v>69</v>
      </c>
      <c r="AR95" s="26" t="s">
        <v>148</v>
      </c>
      <c r="AS95" s="25" t="s">
        <v>70</v>
      </c>
      <c r="AT95" s="26" t="s">
        <v>71</v>
      </c>
      <c r="AU95" s="26" t="s">
        <v>147</v>
      </c>
      <c r="AV95" s="25" t="s">
        <v>92</v>
      </c>
      <c r="AW95" s="25" t="s">
        <v>72</v>
      </c>
      <c r="AX95" s="26" t="s">
        <v>69</v>
      </c>
      <c r="AY95" s="26" t="s">
        <v>148</v>
      </c>
      <c r="AZ95" s="25" t="s">
        <v>70</v>
      </c>
      <c r="BA95" s="26" t="s">
        <v>71</v>
      </c>
      <c r="BB95" s="26" t="s">
        <v>147</v>
      </c>
      <c r="BC95" s="25" t="s">
        <v>92</v>
      </c>
      <c r="BD95" s="25" t="s">
        <v>72</v>
      </c>
      <c r="BE95" s="26" t="s">
        <v>69</v>
      </c>
      <c r="BF95" s="26" t="s">
        <v>148</v>
      </c>
      <c r="BG95" s="26"/>
      <c r="BH95" s="26"/>
      <c r="BI95" s="26"/>
      <c r="BJ95" s="26"/>
      <c r="BK95" s="26"/>
      <c r="BL95" s="26"/>
      <c r="BM95" s="26"/>
      <c r="BN95" s="25" t="s">
        <v>70</v>
      </c>
      <c r="BO95" s="26" t="s">
        <v>71</v>
      </c>
      <c r="BP95" s="25" t="s">
        <v>147</v>
      </c>
      <c r="BQ95" s="25" t="s">
        <v>92</v>
      </c>
      <c r="BR95" s="25" t="s">
        <v>72</v>
      </c>
      <c r="BS95" s="26" t="s">
        <v>69</v>
      </c>
      <c r="BT95" s="25" t="s">
        <v>148</v>
      </c>
      <c r="BU95" s="320"/>
      <c r="BV95" s="362"/>
      <c r="BW95" s="235"/>
      <c r="BX95" s="349"/>
      <c r="BY95" s="349"/>
      <c r="BZ95" s="352"/>
      <c r="CA95" s="355"/>
      <c r="CB95" s="299"/>
      <c r="CC95" s="308"/>
    </row>
    <row r="96" spans="1:82" s="113" customFormat="1" ht="30.75" hidden="1" customHeight="1" x14ac:dyDescent="0.2">
      <c r="A96" s="256" t="s">
        <v>370</v>
      </c>
      <c r="B96" s="257"/>
      <c r="C96" s="258"/>
      <c r="D96" s="258"/>
      <c r="E96" s="258"/>
      <c r="F96" s="258"/>
      <c r="G96" s="258"/>
      <c r="H96" s="257"/>
      <c r="I96" s="258"/>
      <c r="J96" s="275"/>
      <c r="K96" s="275"/>
      <c r="L96" s="275"/>
      <c r="M96" s="275"/>
      <c r="N96" s="275"/>
      <c r="O96" s="275"/>
      <c r="P96" s="275"/>
      <c r="Q96" s="275"/>
      <c r="R96" s="275"/>
      <c r="S96" s="275"/>
      <c r="T96" s="275"/>
      <c r="U96" s="275"/>
      <c r="V96" s="275"/>
      <c r="W96" s="275"/>
      <c r="X96" s="275"/>
      <c r="Y96" s="275"/>
      <c r="Z96" s="275"/>
      <c r="AA96" s="275"/>
      <c r="AB96" s="275"/>
      <c r="AC96" s="275"/>
      <c r="AD96" s="275"/>
      <c r="AE96" s="275"/>
      <c r="AF96" s="275"/>
      <c r="AG96" s="275"/>
      <c r="AH96" s="275"/>
      <c r="AI96" s="275"/>
      <c r="AJ96" s="275"/>
      <c r="AK96" s="275"/>
      <c r="AL96" s="275"/>
      <c r="AM96" s="275"/>
      <c r="AN96" s="275"/>
      <c r="AO96" s="275"/>
      <c r="AP96" s="275"/>
      <c r="AQ96" s="275"/>
      <c r="AR96" s="275"/>
      <c r="AS96" s="275"/>
      <c r="AT96" s="275"/>
      <c r="AU96" s="275"/>
      <c r="AV96" s="275"/>
      <c r="AW96" s="275"/>
      <c r="AX96" s="275"/>
      <c r="AY96" s="275"/>
      <c r="AZ96" s="275"/>
      <c r="BA96" s="275"/>
      <c r="BB96" s="275"/>
      <c r="BC96" s="275"/>
      <c r="BD96" s="275"/>
      <c r="BE96" s="275"/>
      <c r="BF96" s="275"/>
      <c r="BG96" s="279"/>
      <c r="BH96" s="279"/>
      <c r="BI96" s="279"/>
      <c r="BJ96" s="279"/>
      <c r="BK96" s="279"/>
      <c r="BL96" s="279"/>
      <c r="BM96" s="279"/>
      <c r="BN96" s="275"/>
      <c r="BO96" s="275"/>
      <c r="BP96" s="275"/>
      <c r="BQ96" s="275"/>
      <c r="BR96" s="275"/>
      <c r="BS96" s="275"/>
      <c r="BT96" s="275"/>
      <c r="BU96" s="275"/>
      <c r="BV96" s="275"/>
      <c r="BW96" s="261"/>
      <c r="BX96" s="260"/>
      <c r="BY96" s="274"/>
      <c r="BZ96" s="253"/>
      <c r="CA96" s="254"/>
      <c r="CB96" s="255"/>
      <c r="CC96" s="254"/>
    </row>
    <row r="97" spans="1:98" s="113" customFormat="1" ht="30.75" hidden="1" customHeight="1" x14ac:dyDescent="0.2">
      <c r="A97" s="256" t="s">
        <v>385</v>
      </c>
      <c r="B97" s="257"/>
      <c r="C97" s="258"/>
      <c r="D97" s="258"/>
      <c r="E97" s="258"/>
      <c r="F97" s="258"/>
      <c r="G97" s="258"/>
      <c r="H97" s="257"/>
      <c r="I97" s="258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259"/>
      <c r="BD97" s="259"/>
      <c r="BE97" s="259"/>
      <c r="BF97" s="259"/>
      <c r="BG97" s="259"/>
      <c r="BH97" s="259"/>
      <c r="BI97" s="259"/>
      <c r="BJ97" s="259"/>
      <c r="BK97" s="259"/>
      <c r="BL97" s="259"/>
      <c r="BM97" s="259"/>
      <c r="BN97" s="259"/>
      <c r="BO97" s="259"/>
      <c r="BP97" s="259"/>
      <c r="BQ97" s="259"/>
      <c r="BR97" s="259"/>
      <c r="BS97" s="259"/>
      <c r="BT97" s="259"/>
      <c r="BU97" s="275"/>
      <c r="BV97" s="275"/>
      <c r="BW97" s="261"/>
      <c r="BX97" s="260"/>
      <c r="BY97" s="274"/>
      <c r="BZ97" s="253"/>
      <c r="CA97" s="254"/>
      <c r="CB97" s="255"/>
      <c r="CC97" s="254"/>
    </row>
    <row r="98" spans="1:98" s="113" customFormat="1" ht="30.75" hidden="1" customHeight="1" x14ac:dyDescent="0.2">
      <c r="A98" s="256" t="s">
        <v>371</v>
      </c>
      <c r="B98" s="257"/>
      <c r="C98" s="258"/>
      <c r="D98" s="258"/>
      <c r="E98" s="258"/>
      <c r="F98" s="258"/>
      <c r="G98" s="258"/>
      <c r="H98" s="257"/>
      <c r="I98" s="258"/>
      <c r="J98" s="259">
        <f t="shared" ref="J98:AO98" si="80">SUM(J99:J110)</f>
        <v>913102</v>
      </c>
      <c r="K98" s="259">
        <f t="shared" si="80"/>
        <v>225778.9</v>
      </c>
      <c r="L98" s="259">
        <f t="shared" si="80"/>
        <v>830353.9</v>
      </c>
      <c r="M98" s="259">
        <f t="shared" si="80"/>
        <v>225231</v>
      </c>
      <c r="N98" s="259">
        <f t="shared" si="80"/>
        <v>547234</v>
      </c>
      <c r="O98" s="259">
        <f t="shared" si="80"/>
        <v>0</v>
      </c>
      <c r="P98" s="259">
        <f t="shared" si="80"/>
        <v>0</v>
      </c>
      <c r="Q98" s="259">
        <f t="shared" si="80"/>
        <v>0</v>
      </c>
      <c r="R98" s="259">
        <f t="shared" si="80"/>
        <v>0</v>
      </c>
      <c r="S98" s="259">
        <f t="shared" si="80"/>
        <v>0</v>
      </c>
      <c r="T98" s="259">
        <f t="shared" si="80"/>
        <v>0</v>
      </c>
      <c r="U98" s="259">
        <f t="shared" si="80"/>
        <v>1364111.9</v>
      </c>
      <c r="V98" s="259">
        <f t="shared" si="80"/>
        <v>72278421.700000003</v>
      </c>
      <c r="W98" s="259">
        <f t="shared" si="80"/>
        <v>953.90474915973004</v>
      </c>
      <c r="X98" s="259">
        <f t="shared" si="80"/>
        <v>339697.1709090909</v>
      </c>
      <c r="Y98" s="259">
        <f t="shared" si="80"/>
        <v>27060370</v>
      </c>
      <c r="Z98" s="259">
        <f t="shared" si="80"/>
        <v>41132</v>
      </c>
      <c r="AA98" s="259">
        <f t="shared" si="80"/>
        <v>955.38017558340243</v>
      </c>
      <c r="AB98" s="259">
        <f t="shared" si="80"/>
        <v>31978.317090909095</v>
      </c>
      <c r="AC98" s="259">
        <f t="shared" si="80"/>
        <v>667416477.46036363</v>
      </c>
      <c r="AD98" s="259">
        <f t="shared" si="80"/>
        <v>0</v>
      </c>
      <c r="AE98" s="259">
        <f t="shared" si="80"/>
        <v>304687.71818181814</v>
      </c>
      <c r="AF98" s="259">
        <f t="shared" si="80"/>
        <v>28673357</v>
      </c>
      <c r="AG98" s="259">
        <f t="shared" si="80"/>
        <v>0</v>
      </c>
      <c r="AH98" s="259">
        <f t="shared" si="80"/>
        <v>1115.0572481754821</v>
      </c>
      <c r="AI98" s="259">
        <f t="shared" si="80"/>
        <v>30468.771818181816</v>
      </c>
      <c r="AJ98" s="259">
        <f t="shared" si="80"/>
        <v>566958083.95890903</v>
      </c>
      <c r="AK98" s="259">
        <f t="shared" si="80"/>
        <v>0</v>
      </c>
      <c r="AL98" s="259">
        <f t="shared" si="80"/>
        <v>141349.46</v>
      </c>
      <c r="AM98" s="259">
        <f t="shared" si="80"/>
        <v>12167468</v>
      </c>
      <c r="AN98" s="259">
        <f t="shared" si="80"/>
        <v>0</v>
      </c>
      <c r="AO98" s="259">
        <f t="shared" si="80"/>
        <v>509.85859782872541</v>
      </c>
      <c r="AP98" s="259">
        <f t="shared" ref="AP98:BX98" si="81">SUM(AP99:AP110)</f>
        <v>14134.946</v>
      </c>
      <c r="AQ98" s="259">
        <f t="shared" si="81"/>
        <v>251231812.05600002</v>
      </c>
      <c r="AR98" s="259">
        <f t="shared" si="81"/>
        <v>0</v>
      </c>
      <c r="AS98" s="259">
        <f t="shared" si="81"/>
        <v>28144</v>
      </c>
      <c r="AT98" s="259">
        <f t="shared" si="81"/>
        <v>2882508</v>
      </c>
      <c r="AU98" s="259">
        <f t="shared" si="81"/>
        <v>0</v>
      </c>
      <c r="AV98" s="259">
        <f t="shared" si="81"/>
        <v>102.41998294485504</v>
      </c>
      <c r="AW98" s="259">
        <f t="shared" si="81"/>
        <v>2814.4</v>
      </c>
      <c r="AX98" s="259">
        <f t="shared" si="81"/>
        <v>59203718.399999999</v>
      </c>
      <c r="AY98" s="259">
        <f t="shared" si="81"/>
        <v>0</v>
      </c>
      <c r="AZ98" s="259">
        <f t="shared" si="81"/>
        <v>96699.999999999985</v>
      </c>
      <c r="BA98" s="259">
        <f t="shared" si="81"/>
        <v>9830522</v>
      </c>
      <c r="BB98" s="259">
        <f t="shared" si="81"/>
        <v>0</v>
      </c>
      <c r="BC98" s="259">
        <f t="shared" si="81"/>
        <v>101.66000000000001</v>
      </c>
      <c r="BD98" s="259">
        <f t="shared" si="81"/>
        <v>9669.9999999999982</v>
      </c>
      <c r="BE98" s="259">
        <f t="shared" si="81"/>
        <v>205448819.99999997</v>
      </c>
      <c r="BF98" s="259">
        <f t="shared" si="81"/>
        <v>0</v>
      </c>
      <c r="BG98" s="259"/>
      <c r="BH98" s="259"/>
      <c r="BI98" s="259"/>
      <c r="BJ98" s="259"/>
      <c r="BK98" s="259"/>
      <c r="BL98" s="259"/>
      <c r="BM98" s="259"/>
      <c r="BN98" s="259">
        <f t="shared" si="81"/>
        <v>0</v>
      </c>
      <c r="BO98" s="259">
        <f t="shared" si="81"/>
        <v>0</v>
      </c>
      <c r="BP98" s="259">
        <f t="shared" si="81"/>
        <v>0</v>
      </c>
      <c r="BQ98" s="259">
        <f t="shared" si="81"/>
        <v>0</v>
      </c>
      <c r="BR98" s="259">
        <f t="shared" si="81"/>
        <v>0</v>
      </c>
      <c r="BS98" s="259">
        <f t="shared" si="81"/>
        <v>0</v>
      </c>
      <c r="BT98" s="259">
        <f t="shared" si="81"/>
        <v>0</v>
      </c>
      <c r="BU98" s="259">
        <f t="shared" si="81"/>
        <v>1052829.3840000001</v>
      </c>
      <c r="BV98" s="259">
        <f t="shared" si="81"/>
        <v>311282.51599999995</v>
      </c>
      <c r="BW98" s="259">
        <f t="shared" si="81"/>
        <v>0</v>
      </c>
      <c r="BX98" s="259">
        <f t="shared" si="81"/>
        <v>0</v>
      </c>
      <c r="BY98" s="274"/>
      <c r="BZ98" s="253"/>
      <c r="CA98" s="254"/>
      <c r="CB98" s="255"/>
      <c r="CC98" s="254"/>
    </row>
    <row r="99" spans="1:98" s="13" customFormat="1" ht="54" hidden="1" customHeight="1" x14ac:dyDescent="0.2">
      <c r="A99" s="16">
        <v>1</v>
      </c>
      <c r="B99" s="16" t="s">
        <v>98</v>
      </c>
      <c r="C99" s="16" t="s">
        <v>1</v>
      </c>
      <c r="D99" s="17" t="s">
        <v>2</v>
      </c>
      <c r="E99" s="17"/>
      <c r="F99" s="17"/>
      <c r="G99" s="21">
        <v>40673</v>
      </c>
      <c r="H99" s="21" t="s">
        <v>47</v>
      </c>
      <c r="I99" s="12" t="s">
        <v>13</v>
      </c>
      <c r="J99" s="19">
        <v>49785</v>
      </c>
      <c r="K99" s="91"/>
      <c r="L99" s="91"/>
      <c r="M99" s="94"/>
      <c r="N99" s="94"/>
      <c r="O99" s="98"/>
      <c r="P99" s="98"/>
      <c r="Q99" s="103"/>
      <c r="R99" s="103"/>
      <c r="S99" s="98"/>
      <c r="T99" s="98"/>
      <c r="U99" s="184">
        <f t="shared" ref="U99:U110" si="82">J99+K99+M99+O99+Q99+S99</f>
        <v>49785</v>
      </c>
      <c r="V99" s="19">
        <v>3523413</v>
      </c>
      <c r="W99" s="28">
        <f>V99/J99</f>
        <v>70.772582103043092</v>
      </c>
      <c r="X99" s="8">
        <v>19914</v>
      </c>
      <c r="Y99" s="9">
        <v>1555881</v>
      </c>
      <c r="Z99" s="53" t="s">
        <v>130</v>
      </c>
      <c r="AA99" s="8">
        <f>Y99/X99</f>
        <v>78.130009038867129</v>
      </c>
      <c r="AB99" s="8"/>
      <c r="AC99" s="9"/>
      <c r="AD99" s="9"/>
      <c r="AE99" s="10">
        <f>X99/1.1</f>
        <v>18103.636363636364</v>
      </c>
      <c r="AF99" s="20">
        <v>1428739</v>
      </c>
      <c r="AG99" s="20" t="s">
        <v>142</v>
      </c>
      <c r="AH99" s="10">
        <f>AF99/AE99</f>
        <v>78.920001004318564</v>
      </c>
      <c r="AI99" s="10">
        <f>AE99*0.1</f>
        <v>1810.3636363636365</v>
      </c>
      <c r="AJ99" s="20">
        <v>37706261</v>
      </c>
      <c r="AK99" s="20" t="s">
        <v>140</v>
      </c>
      <c r="AL99" s="61"/>
      <c r="AM99" s="62"/>
      <c r="AN99" s="62"/>
      <c r="AO99" s="61"/>
      <c r="AP99" s="61"/>
      <c r="AQ99" s="62"/>
      <c r="AR99" s="62"/>
      <c r="AS99" s="8"/>
      <c r="AT99" s="9"/>
      <c r="AU99" s="9"/>
      <c r="AV99" s="8"/>
      <c r="AW99" s="8"/>
      <c r="AX99" s="9"/>
      <c r="AY99" s="9"/>
      <c r="AZ99" s="83"/>
      <c r="BA99" s="84"/>
      <c r="BB99" s="84"/>
      <c r="BC99" s="83"/>
      <c r="BD99" s="83"/>
      <c r="BE99" s="84"/>
      <c r="BF99" s="84"/>
      <c r="BG99" s="84"/>
      <c r="BH99" s="84"/>
      <c r="BI99" s="84"/>
      <c r="BJ99" s="84"/>
      <c r="BK99" s="84"/>
      <c r="BL99" s="84"/>
      <c r="BM99" s="84"/>
      <c r="BN99" s="11"/>
      <c r="BO99" s="79"/>
      <c r="BP99" s="11"/>
      <c r="BQ99" s="11"/>
      <c r="BR99" s="11"/>
      <c r="BS99" s="79"/>
      <c r="BT99" s="11"/>
      <c r="BU99" s="8">
        <f t="shared" ref="BU99:BU107" si="83">X99+AB99+AE99+AI99+AL99+AP99+AS99+AW99+AZ99+BD99+BN99+BR99</f>
        <v>39828.000000000007</v>
      </c>
      <c r="BV99" s="280">
        <f>J99-(X99+AE99+BN99+AI99+AL99+AP99+AS99+AW99+AZ99+BD99+BR99+AB99)</f>
        <v>9956.9999999999927</v>
      </c>
      <c r="BW99" s="237" t="s">
        <v>362</v>
      </c>
      <c r="BX99" s="139" t="s">
        <v>300</v>
      </c>
      <c r="BY99" s="140" t="s">
        <v>320</v>
      </c>
      <c r="BZ99" s="29">
        <f>J99-X99-AE99-BN99-AL99-AS99-AZ99</f>
        <v>11767.363636363636</v>
      </c>
      <c r="CA99" s="30">
        <f>V99-Y99-AF99-AM99-AT99-BA99-BO99</f>
        <v>538793</v>
      </c>
      <c r="CB99" s="7"/>
      <c r="CC99" s="7" t="s">
        <v>276</v>
      </c>
    </row>
    <row r="100" spans="1:98" s="13" customFormat="1" ht="49.5" hidden="1" customHeight="1" x14ac:dyDescent="0.2">
      <c r="A100" s="16">
        <v>5</v>
      </c>
      <c r="B100" s="22" t="s">
        <v>377</v>
      </c>
      <c r="C100" s="16" t="s">
        <v>1</v>
      </c>
      <c r="D100" s="17" t="s">
        <v>2</v>
      </c>
      <c r="E100" s="33"/>
      <c r="F100" s="33"/>
      <c r="G100" s="22" t="s">
        <v>150</v>
      </c>
      <c r="H100" s="22"/>
      <c r="I100" s="35" t="s">
        <v>154</v>
      </c>
      <c r="J100" s="36">
        <v>93500</v>
      </c>
      <c r="K100" s="38">
        <f>L100-J100</f>
        <v>101200</v>
      </c>
      <c r="L100" s="38">
        <v>194700</v>
      </c>
      <c r="M100" s="96"/>
      <c r="N100" s="96"/>
      <c r="O100" s="100"/>
      <c r="P100" s="100"/>
      <c r="Q100" s="105"/>
      <c r="R100" s="105"/>
      <c r="S100" s="100"/>
      <c r="T100" s="100"/>
      <c r="U100" s="184">
        <f t="shared" si="82"/>
        <v>194700</v>
      </c>
      <c r="V100" s="36">
        <f>6681000*1.1</f>
        <v>7349100.0000000009</v>
      </c>
      <c r="W100" s="44">
        <f t="shared" ref="W100" si="84">V100/J100</f>
        <v>78.600000000000009</v>
      </c>
      <c r="X100" s="37">
        <f>J100*0.4/1.1</f>
        <v>34000</v>
      </c>
      <c r="Y100" s="38">
        <v>2708440</v>
      </c>
      <c r="Z100" s="59" t="s">
        <v>183</v>
      </c>
      <c r="AA100" s="37">
        <f t="shared" ref="AA100" si="85">Y100/X100</f>
        <v>79.66</v>
      </c>
      <c r="AB100" s="37">
        <f t="shared" ref="AB100" si="86">X100*0.1</f>
        <v>3400</v>
      </c>
      <c r="AC100" s="38">
        <f>AB100*20828</f>
        <v>70815200</v>
      </c>
      <c r="AD100" s="59" t="s">
        <v>198</v>
      </c>
      <c r="AE100" s="39">
        <v>34000</v>
      </c>
      <c r="AF100" s="40">
        <v>3329280</v>
      </c>
      <c r="AG100" s="67" t="s">
        <v>241</v>
      </c>
      <c r="AH100" s="39">
        <f t="shared" ref="AH100" si="87">AF100/AE100</f>
        <v>97.92</v>
      </c>
      <c r="AI100" s="39">
        <f>AE100*0.1</f>
        <v>3400</v>
      </c>
      <c r="AJ100" s="40">
        <f>AI100*20828</f>
        <v>70815200</v>
      </c>
      <c r="AK100" s="40" t="s">
        <v>260</v>
      </c>
      <c r="AL100" s="64">
        <v>18000</v>
      </c>
      <c r="AM100" s="65">
        <f>1834920</f>
        <v>1834920</v>
      </c>
      <c r="AN100" s="65" t="s">
        <v>350</v>
      </c>
      <c r="AO100" s="64">
        <f t="shared" ref="AO100" si="88">AM100/AL100</f>
        <v>101.94</v>
      </c>
      <c r="AP100" s="61">
        <f t="shared" ref="AP100" si="89">AL100*0.1</f>
        <v>1800</v>
      </c>
      <c r="AQ100" s="65">
        <f>AP100*21036</f>
        <v>37864800</v>
      </c>
      <c r="AR100" s="62" t="s">
        <v>359</v>
      </c>
      <c r="AS100" s="37"/>
      <c r="AT100" s="38"/>
      <c r="AU100" s="38"/>
      <c r="AV100" s="37"/>
      <c r="AW100" s="37"/>
      <c r="AX100" s="38"/>
      <c r="AY100" s="38"/>
      <c r="AZ100" s="85"/>
      <c r="BA100" s="86"/>
      <c r="BB100" s="86"/>
      <c r="BC100" s="85"/>
      <c r="BD100" s="85"/>
      <c r="BE100" s="86"/>
      <c r="BF100" s="86"/>
      <c r="BG100" s="282"/>
      <c r="BH100" s="282"/>
      <c r="BI100" s="282"/>
      <c r="BJ100" s="282"/>
      <c r="BK100" s="282"/>
      <c r="BL100" s="282"/>
      <c r="BM100" s="282"/>
      <c r="BN100" s="41"/>
      <c r="BO100" s="127"/>
      <c r="BP100" s="41"/>
      <c r="BQ100" s="41"/>
      <c r="BR100" s="41"/>
      <c r="BS100" s="127"/>
      <c r="BT100" s="41"/>
      <c r="BU100" s="8">
        <f t="shared" si="83"/>
        <v>94600</v>
      </c>
      <c r="BV100" s="263">
        <f>L100-(X100+AE100+BN100+AI100+AL100+AP100+AS100+AW100+AZ100+BD100+BR100+AB100)</f>
        <v>100100</v>
      </c>
      <c r="BW100" s="237" t="s">
        <v>362</v>
      </c>
      <c r="BX100" s="140" t="s">
        <v>355</v>
      </c>
      <c r="BY100" s="140" t="s">
        <v>320</v>
      </c>
      <c r="BZ100" s="29">
        <f>L100-X100-AE100-BN100-AL100-AS100-AZ100</f>
        <v>108700</v>
      </c>
      <c r="CA100" s="30">
        <f t="shared" ref="CA100:CA110" si="90">V100/1.1-Y100-AF100-BO100-AM100-AT100-BA100</f>
        <v>-1191640</v>
      </c>
      <c r="CB100" s="42"/>
      <c r="CC100" s="12" t="s">
        <v>291</v>
      </c>
    </row>
    <row r="101" spans="1:98" s="13" customFormat="1" ht="50.25" hidden="1" customHeight="1" x14ac:dyDescent="0.2">
      <c r="A101" s="16">
        <v>6</v>
      </c>
      <c r="B101" s="16" t="s">
        <v>101</v>
      </c>
      <c r="C101" s="16" t="s">
        <v>1</v>
      </c>
      <c r="D101" s="17" t="s">
        <v>2</v>
      </c>
      <c r="E101" s="17"/>
      <c r="F101" s="17"/>
      <c r="G101" s="16" t="s">
        <v>53</v>
      </c>
      <c r="H101" s="16" t="s">
        <v>54</v>
      </c>
      <c r="I101" s="18" t="s">
        <v>200</v>
      </c>
      <c r="J101" s="19">
        <f>80196</f>
        <v>80196</v>
      </c>
      <c r="K101" s="91">
        <v>11191</v>
      </c>
      <c r="L101" s="91">
        <f>J101+K101</f>
        <v>91387</v>
      </c>
      <c r="M101" s="94">
        <f>N101-L101</f>
        <v>3771</v>
      </c>
      <c r="N101" s="94">
        <v>95158</v>
      </c>
      <c r="O101" s="98"/>
      <c r="P101" s="98"/>
      <c r="Q101" s="103"/>
      <c r="R101" s="103"/>
      <c r="S101" s="98"/>
      <c r="T101" s="98"/>
      <c r="U101" s="184">
        <f t="shared" si="82"/>
        <v>95158</v>
      </c>
      <c r="V101" s="19">
        <f>1.1*6827753</f>
        <v>7510528.3000000007</v>
      </c>
      <c r="W101" s="28">
        <f t="shared" ref="W101:W107" si="91">V101/J101</f>
        <v>93.652155967878713</v>
      </c>
      <c r="X101" s="8">
        <f>32078/1.1</f>
        <v>29161.81818181818</v>
      </c>
      <c r="Y101" s="9">
        <v>2604413</v>
      </c>
      <c r="Z101" s="53" t="s">
        <v>63</v>
      </c>
      <c r="AA101" s="8">
        <f t="shared" ref="AA101" si="92">Y101/X101</f>
        <v>89.309006172454644</v>
      </c>
      <c r="AB101" s="8">
        <f t="shared" ref="AB101" si="93">X101*0.1</f>
        <v>2916.181818181818</v>
      </c>
      <c r="AC101" s="9">
        <v>60738239</v>
      </c>
      <c r="AD101" s="9" t="s">
        <v>136</v>
      </c>
      <c r="AE101" s="10">
        <f>J101*0.4/1.1</f>
        <v>29162.181818181816</v>
      </c>
      <c r="AF101" s="20">
        <v>2262971</v>
      </c>
      <c r="AG101" s="58" t="s">
        <v>178</v>
      </c>
      <c r="AH101" s="10">
        <f t="shared" ref="AH101:AH104" si="94">AF101/AE101</f>
        <v>77.599509327148496</v>
      </c>
      <c r="AI101" s="10">
        <f t="shared" ref="AI101:AI106" si="95">AE101*0.1</f>
        <v>2916.2181818181816</v>
      </c>
      <c r="AJ101" s="20">
        <f t="shared" ref="AJ101:AJ103" si="96">AI101*20828</f>
        <v>60738992.290909089</v>
      </c>
      <c r="AK101" s="20" t="s">
        <v>192</v>
      </c>
      <c r="AL101" s="61">
        <v>12968.18</v>
      </c>
      <c r="AM101" s="62">
        <v>1321958</v>
      </c>
      <c r="AN101" s="63" t="s">
        <v>350</v>
      </c>
      <c r="AO101" s="61">
        <f t="shared" ref="AO101" si="97">AM101/AL101</f>
        <v>101.93859122868436</v>
      </c>
      <c r="AP101" s="61">
        <f t="shared" ref="AP101" si="98">AL101*0.1</f>
        <v>1296.8180000000002</v>
      </c>
      <c r="AQ101" s="62">
        <f>AP101*21036</f>
        <v>27279863.448000003</v>
      </c>
      <c r="AR101" s="62" t="s">
        <v>359</v>
      </c>
      <c r="AS101" s="8"/>
      <c r="AT101" s="9"/>
      <c r="AU101" s="57"/>
      <c r="AV101" s="8"/>
      <c r="AW101" s="8"/>
      <c r="AX101" s="9"/>
      <c r="AY101" s="9"/>
      <c r="AZ101" s="83"/>
      <c r="BA101" s="84"/>
      <c r="BB101" s="87"/>
      <c r="BC101" s="83"/>
      <c r="BD101" s="83"/>
      <c r="BE101" s="84"/>
      <c r="BF101" s="84"/>
      <c r="BG101" s="84"/>
      <c r="BH101" s="84"/>
      <c r="BI101" s="84"/>
      <c r="BJ101" s="84"/>
      <c r="BK101" s="84"/>
      <c r="BL101" s="84"/>
      <c r="BM101" s="84"/>
      <c r="BN101" s="11"/>
      <c r="BO101" s="79"/>
      <c r="BP101" s="11"/>
      <c r="BQ101" s="11"/>
      <c r="BR101" s="11"/>
      <c r="BS101" s="79"/>
      <c r="BT101" s="11"/>
      <c r="BU101" s="8">
        <f t="shared" si="83"/>
        <v>78421.397999999986</v>
      </c>
      <c r="BV101" s="263">
        <f>N101-(X101+AE101+BN101+AI101+AL101+AP101+AS101+AW101+AZ101+BD101+BR101+AB101)</f>
        <v>16736.601999999984</v>
      </c>
      <c r="BW101" s="246" t="s">
        <v>363</v>
      </c>
      <c r="BX101" s="140" t="s">
        <v>356</v>
      </c>
      <c r="BY101" s="140" t="s">
        <v>320</v>
      </c>
      <c r="BZ101" s="29">
        <f>N101-X101-AE101-BN101-AL101-AS101-AZ101</f>
        <v>23865.820000000007</v>
      </c>
      <c r="CA101" s="30">
        <f t="shared" si="90"/>
        <v>638411</v>
      </c>
      <c r="CB101" s="7"/>
      <c r="CC101" s="12" t="s">
        <v>284</v>
      </c>
    </row>
    <row r="102" spans="1:98" s="13" customFormat="1" ht="49.5" hidden="1" customHeight="1" x14ac:dyDescent="0.2">
      <c r="A102" s="16">
        <v>7</v>
      </c>
      <c r="B102" s="22" t="s">
        <v>376</v>
      </c>
      <c r="C102" s="16" t="s">
        <v>1</v>
      </c>
      <c r="D102" s="17" t="s">
        <v>2</v>
      </c>
      <c r="E102" s="33"/>
      <c r="F102" s="33"/>
      <c r="G102" s="22" t="s">
        <v>150</v>
      </c>
      <c r="H102" s="22"/>
      <c r="I102" s="35" t="s">
        <v>153</v>
      </c>
      <c r="J102" s="36">
        <v>71500</v>
      </c>
      <c r="K102" s="92">
        <f t="shared" ref="K102" si="99">L102-J102</f>
        <v>20678.899999999994</v>
      </c>
      <c r="L102" s="92">
        <v>92178.9</v>
      </c>
      <c r="M102" s="96"/>
      <c r="N102" s="96"/>
      <c r="O102" s="100"/>
      <c r="P102" s="100"/>
      <c r="Q102" s="105"/>
      <c r="R102" s="105"/>
      <c r="S102" s="100"/>
      <c r="T102" s="100"/>
      <c r="U102" s="184">
        <f t="shared" si="82"/>
        <v>92178.9</v>
      </c>
      <c r="V102" s="36">
        <f>5109000*1.1</f>
        <v>5619900</v>
      </c>
      <c r="W102" s="44">
        <f t="shared" si="91"/>
        <v>78.599999999999994</v>
      </c>
      <c r="X102" s="37">
        <f>J102*0.4/1.1</f>
        <v>25999.999999999996</v>
      </c>
      <c r="Y102" s="38">
        <v>2135120</v>
      </c>
      <c r="Z102" s="54" t="s">
        <v>191</v>
      </c>
      <c r="AA102" s="37">
        <f>Y102/X102</f>
        <v>82.12</v>
      </c>
      <c r="AB102" s="37">
        <v>2600</v>
      </c>
      <c r="AC102" s="38">
        <f>AB102*20828</f>
        <v>54152800</v>
      </c>
      <c r="AD102" s="59" t="s">
        <v>210</v>
      </c>
      <c r="AE102" s="39">
        <f>J102*0.4/1.1</f>
        <v>25999.999999999996</v>
      </c>
      <c r="AF102" s="40">
        <v>2445300</v>
      </c>
      <c r="AG102" s="67" t="s">
        <v>230</v>
      </c>
      <c r="AH102" s="39">
        <f t="shared" si="94"/>
        <v>94.050000000000011</v>
      </c>
      <c r="AI102" s="39">
        <f t="shared" si="95"/>
        <v>2600</v>
      </c>
      <c r="AJ102" s="40">
        <f t="shared" si="96"/>
        <v>54152800</v>
      </c>
      <c r="AK102" s="40" t="s">
        <v>252</v>
      </c>
      <c r="AL102" s="64"/>
      <c r="AM102" s="65"/>
      <c r="AN102" s="65"/>
      <c r="AO102" s="64"/>
      <c r="AP102" s="64"/>
      <c r="AQ102" s="65"/>
      <c r="AR102" s="65"/>
      <c r="AS102" s="37"/>
      <c r="AT102" s="38"/>
      <c r="AU102" s="38"/>
      <c r="AV102" s="37"/>
      <c r="AW102" s="37"/>
      <c r="AX102" s="38"/>
      <c r="AY102" s="38"/>
      <c r="AZ102" s="85"/>
      <c r="BA102" s="86"/>
      <c r="BB102" s="86"/>
      <c r="BC102" s="85"/>
      <c r="BD102" s="85"/>
      <c r="BE102" s="86"/>
      <c r="BF102" s="86"/>
      <c r="BG102" s="282"/>
      <c r="BH102" s="282"/>
      <c r="BI102" s="282"/>
      <c r="BJ102" s="282"/>
      <c r="BK102" s="282"/>
      <c r="BL102" s="282"/>
      <c r="BM102" s="282"/>
      <c r="BN102" s="41"/>
      <c r="BO102" s="127"/>
      <c r="BP102" s="41"/>
      <c r="BQ102" s="41"/>
      <c r="BR102" s="41"/>
      <c r="BS102" s="127"/>
      <c r="BT102" s="41"/>
      <c r="BU102" s="8">
        <f t="shared" si="83"/>
        <v>57199.999999999993</v>
      </c>
      <c r="BV102" s="263">
        <f t="shared" ref="BV102" si="100">L102-(X102+AE102+BN102+AI102+AL102+AP102+AS102+AW102+AZ102+BD102+BR102+AB102)</f>
        <v>34978.9</v>
      </c>
      <c r="BW102" s="237" t="s">
        <v>362</v>
      </c>
      <c r="BX102" s="139" t="s">
        <v>302</v>
      </c>
      <c r="BY102" s="140" t="s">
        <v>320</v>
      </c>
      <c r="BZ102" s="29">
        <f t="shared" ref="BZ102:BZ107" si="101">L102-X102-AE102-BN102-AL102-AS102-AZ102</f>
        <v>40178.899999999994</v>
      </c>
      <c r="CA102" s="30">
        <f t="shared" si="90"/>
        <v>528580</v>
      </c>
      <c r="CB102" s="29"/>
      <c r="CC102" s="12" t="s">
        <v>284</v>
      </c>
    </row>
    <row r="103" spans="1:98" s="72" customFormat="1" ht="50.25" hidden="1" customHeight="1" x14ac:dyDescent="0.2">
      <c r="A103" s="16">
        <v>8</v>
      </c>
      <c r="B103" s="16" t="s">
        <v>161</v>
      </c>
      <c r="C103" s="16" t="s">
        <v>1</v>
      </c>
      <c r="D103" s="17" t="s">
        <v>2</v>
      </c>
      <c r="E103" s="17"/>
      <c r="F103" s="17"/>
      <c r="G103" s="21">
        <v>40916</v>
      </c>
      <c r="H103" s="16"/>
      <c r="I103" s="18" t="s">
        <v>107</v>
      </c>
      <c r="J103" s="19">
        <v>31011</v>
      </c>
      <c r="K103" s="91">
        <f t="shared" ref="K103:K104" si="102">L103-J103</f>
        <v>-3669</v>
      </c>
      <c r="L103" s="91">
        <v>27342</v>
      </c>
      <c r="M103" s="94"/>
      <c r="N103" s="94"/>
      <c r="O103" s="98"/>
      <c r="P103" s="98"/>
      <c r="Q103" s="103"/>
      <c r="R103" s="103"/>
      <c r="S103" s="98"/>
      <c r="T103" s="98"/>
      <c r="U103" s="184">
        <f t="shared" si="82"/>
        <v>27342</v>
      </c>
      <c r="V103" s="19">
        <f>1.1*2235907</f>
        <v>2459497.7000000002</v>
      </c>
      <c r="W103" s="28">
        <f t="shared" si="91"/>
        <v>79.310493050852926</v>
      </c>
      <c r="X103" s="8">
        <f>J103*0.4/1.1</f>
        <v>11276.727272727274</v>
      </c>
      <c r="Y103" s="9">
        <v>886351</v>
      </c>
      <c r="Z103" s="53" t="s">
        <v>162</v>
      </c>
      <c r="AA103" s="8">
        <f t="shared" ref="AA103:AA105" si="103">Y103/X103</f>
        <v>78.600020960304406</v>
      </c>
      <c r="AB103" s="8">
        <f t="shared" ref="AB103:AB107" si="104">X103*0.1</f>
        <v>1127.6727272727273</v>
      </c>
      <c r="AC103" s="9">
        <f t="shared" ref="AC103" si="105">AB103*20828</f>
        <v>23487167.563636366</v>
      </c>
      <c r="AD103" s="57" t="s">
        <v>186</v>
      </c>
      <c r="AE103" s="10">
        <v>11276.36</v>
      </c>
      <c r="AF103" s="20">
        <v>1027761</v>
      </c>
      <c r="AG103" s="58" t="s">
        <v>218</v>
      </c>
      <c r="AH103" s="10">
        <f t="shared" si="94"/>
        <v>91.142975215406381</v>
      </c>
      <c r="AI103" s="10">
        <f t="shared" si="95"/>
        <v>1127.6360000000002</v>
      </c>
      <c r="AJ103" s="20">
        <f t="shared" si="96"/>
        <v>23486402.608000003</v>
      </c>
      <c r="AK103" s="58" t="s">
        <v>229</v>
      </c>
      <c r="AL103" s="68"/>
      <c r="AM103" s="69"/>
      <c r="AN103" s="69"/>
      <c r="AO103" s="69"/>
      <c r="AP103" s="68"/>
      <c r="AQ103" s="69"/>
      <c r="AR103" s="69"/>
      <c r="AS103" s="81"/>
      <c r="AT103" s="82"/>
      <c r="AU103" s="82"/>
      <c r="AV103" s="174"/>
      <c r="AW103" s="81"/>
      <c r="AX103" s="82"/>
      <c r="AY103" s="82"/>
      <c r="AZ103" s="88"/>
      <c r="BA103" s="89"/>
      <c r="BB103" s="89"/>
      <c r="BC103" s="175"/>
      <c r="BD103" s="88"/>
      <c r="BE103" s="89"/>
      <c r="BF103" s="89"/>
      <c r="BG103" s="89"/>
      <c r="BH103" s="89"/>
      <c r="BI103" s="89"/>
      <c r="BJ103" s="89"/>
      <c r="BK103" s="89"/>
      <c r="BL103" s="89"/>
      <c r="BM103" s="89"/>
      <c r="BN103" s="70"/>
      <c r="BO103" s="153"/>
      <c r="BP103" s="70"/>
      <c r="BQ103" s="70"/>
      <c r="BR103" s="70"/>
      <c r="BS103" s="153"/>
      <c r="BT103" s="70"/>
      <c r="BU103" s="8">
        <f t="shared" si="83"/>
        <v>24808.396000000001</v>
      </c>
      <c r="BV103" s="263">
        <f t="shared" ref="BV103:BV104" si="106">L103-(X103+AE103+BN103+AI103+AL103+AP103+AS103+AW103+AZ103+BD103+BR103+AB103)</f>
        <v>2533.604000000003</v>
      </c>
      <c r="BW103" s="237" t="s">
        <v>362</v>
      </c>
      <c r="BX103" s="139" t="s">
        <v>302</v>
      </c>
      <c r="BY103" s="140" t="s">
        <v>320</v>
      </c>
      <c r="BZ103" s="29">
        <f t="shared" si="101"/>
        <v>4788.9127272727255</v>
      </c>
      <c r="CA103" s="30">
        <f t="shared" si="90"/>
        <v>321795</v>
      </c>
      <c r="CB103" s="71"/>
      <c r="CC103" s="12" t="s">
        <v>284</v>
      </c>
    </row>
    <row r="104" spans="1:98" s="13" customFormat="1" ht="49.5" hidden="1" customHeight="1" x14ac:dyDescent="0.2">
      <c r="A104" s="16">
        <v>15</v>
      </c>
      <c r="B104" s="22" t="s">
        <v>172</v>
      </c>
      <c r="C104" s="16" t="s">
        <v>1</v>
      </c>
      <c r="D104" s="17" t="s">
        <v>2</v>
      </c>
      <c r="E104" s="33"/>
      <c r="F104" s="33"/>
      <c r="G104" s="22" t="s">
        <v>149</v>
      </c>
      <c r="H104" s="22"/>
      <c r="I104" s="35" t="s">
        <v>151</v>
      </c>
      <c r="J104" s="36">
        <v>99000</v>
      </c>
      <c r="K104" s="91">
        <f t="shared" si="102"/>
        <v>-3300</v>
      </c>
      <c r="L104" s="91">
        <v>95700</v>
      </c>
      <c r="M104" s="96"/>
      <c r="N104" s="96"/>
      <c r="O104" s="100"/>
      <c r="P104" s="100"/>
      <c r="Q104" s="105"/>
      <c r="R104" s="105"/>
      <c r="S104" s="100"/>
      <c r="T104" s="100"/>
      <c r="U104" s="184">
        <f t="shared" si="82"/>
        <v>95700</v>
      </c>
      <c r="V104" s="36">
        <f>7074000*1.1</f>
        <v>7781400.0000000009</v>
      </c>
      <c r="W104" s="44">
        <f t="shared" si="91"/>
        <v>78.600000000000009</v>
      </c>
      <c r="X104" s="37">
        <f>J104*0.4/1.1</f>
        <v>36000</v>
      </c>
      <c r="Y104" s="38">
        <v>2793600</v>
      </c>
      <c r="Z104" s="54" t="s">
        <v>171</v>
      </c>
      <c r="AA104" s="37">
        <f t="shared" si="103"/>
        <v>77.599999999999994</v>
      </c>
      <c r="AB104" s="37">
        <f t="shared" si="104"/>
        <v>3600</v>
      </c>
      <c r="AC104" s="38">
        <f>AB104*20828</f>
        <v>74980800</v>
      </c>
      <c r="AD104" s="59" t="s">
        <v>186</v>
      </c>
      <c r="AE104" s="39">
        <v>36000</v>
      </c>
      <c r="AF104" s="40">
        <v>3642480</v>
      </c>
      <c r="AG104" s="67" t="s">
        <v>251</v>
      </c>
      <c r="AH104" s="10">
        <f t="shared" si="94"/>
        <v>101.18</v>
      </c>
      <c r="AI104" s="39">
        <f t="shared" si="95"/>
        <v>3600</v>
      </c>
      <c r="AJ104" s="40">
        <f>AI104*20828</f>
        <v>74980800</v>
      </c>
      <c r="AK104" s="40" t="s">
        <v>260</v>
      </c>
      <c r="AL104" s="64"/>
      <c r="AM104" s="65"/>
      <c r="AN104" s="65"/>
      <c r="AO104" s="64"/>
      <c r="AP104" s="64"/>
      <c r="AQ104" s="65"/>
      <c r="AR104" s="65"/>
      <c r="AS104" s="37"/>
      <c r="AT104" s="38"/>
      <c r="AU104" s="38"/>
      <c r="AV104" s="37"/>
      <c r="AW104" s="37"/>
      <c r="AX104" s="38"/>
      <c r="AY104" s="38"/>
      <c r="AZ104" s="85"/>
      <c r="BA104" s="86"/>
      <c r="BB104" s="86"/>
      <c r="BC104" s="85"/>
      <c r="BD104" s="85"/>
      <c r="BE104" s="86"/>
      <c r="BF104" s="86"/>
      <c r="BG104" s="86"/>
      <c r="BH104" s="86"/>
      <c r="BI104" s="86"/>
      <c r="BJ104" s="86"/>
      <c r="BK104" s="86"/>
      <c r="BL104" s="86"/>
      <c r="BM104" s="86"/>
      <c r="BN104" s="41"/>
      <c r="BO104" s="127"/>
      <c r="BP104" s="41"/>
      <c r="BQ104" s="41"/>
      <c r="BR104" s="41"/>
      <c r="BS104" s="127"/>
      <c r="BT104" s="41"/>
      <c r="BU104" s="8">
        <f t="shared" si="83"/>
        <v>79200</v>
      </c>
      <c r="BV104" s="263">
        <f t="shared" si="106"/>
        <v>16500</v>
      </c>
      <c r="BW104" s="237" t="s">
        <v>362</v>
      </c>
      <c r="BX104" s="139" t="s">
        <v>302</v>
      </c>
      <c r="BY104" s="139" t="s">
        <v>320</v>
      </c>
      <c r="BZ104" s="29">
        <f t="shared" si="101"/>
        <v>23700</v>
      </c>
      <c r="CA104" s="30">
        <f t="shared" si="90"/>
        <v>637920</v>
      </c>
      <c r="CB104" s="42"/>
      <c r="CC104" s="12" t="s">
        <v>284</v>
      </c>
    </row>
    <row r="105" spans="1:98" s="13" customFormat="1" ht="49.5" hidden="1" customHeight="1" x14ac:dyDescent="0.2">
      <c r="A105" s="16">
        <v>18</v>
      </c>
      <c r="B105" s="22" t="s">
        <v>173</v>
      </c>
      <c r="C105" s="16" t="s">
        <v>1</v>
      </c>
      <c r="D105" s="17" t="s">
        <v>2</v>
      </c>
      <c r="E105" s="33"/>
      <c r="F105" s="33"/>
      <c r="G105" s="22" t="s">
        <v>149</v>
      </c>
      <c r="H105" s="22"/>
      <c r="I105" s="35" t="s">
        <v>152</v>
      </c>
      <c r="J105" s="36">
        <v>66000</v>
      </c>
      <c r="K105" s="91">
        <f>L105-J105</f>
        <v>61600</v>
      </c>
      <c r="L105" s="91">
        <v>127600</v>
      </c>
      <c r="M105" s="96"/>
      <c r="N105" s="96"/>
      <c r="O105" s="100"/>
      <c r="P105" s="100"/>
      <c r="Q105" s="105"/>
      <c r="R105" s="105"/>
      <c r="S105" s="100"/>
      <c r="T105" s="100"/>
      <c r="U105" s="184">
        <f t="shared" si="82"/>
        <v>127600</v>
      </c>
      <c r="V105" s="36">
        <f>4716000*1.1</f>
        <v>5187600</v>
      </c>
      <c r="W105" s="44">
        <f t="shared" si="91"/>
        <v>78.599999999999994</v>
      </c>
      <c r="X105" s="37">
        <f t="shared" ref="X105:X107" si="107">J105*0.4/1.1</f>
        <v>23999.999999999996</v>
      </c>
      <c r="Y105" s="38">
        <v>1862400</v>
      </c>
      <c r="Z105" s="54" t="s">
        <v>171</v>
      </c>
      <c r="AA105" s="37">
        <f t="shared" si="103"/>
        <v>77.600000000000009</v>
      </c>
      <c r="AB105" s="37">
        <f t="shared" si="104"/>
        <v>2399.9999999999995</v>
      </c>
      <c r="AC105" s="38">
        <v>49987200</v>
      </c>
      <c r="AD105" s="59" t="s">
        <v>186</v>
      </c>
      <c r="AE105" s="39">
        <v>24000</v>
      </c>
      <c r="AF105" s="40">
        <v>2350080</v>
      </c>
      <c r="AG105" s="67" t="s">
        <v>241</v>
      </c>
      <c r="AH105" s="39">
        <f>AF105/AE105</f>
        <v>97.92</v>
      </c>
      <c r="AI105" s="39">
        <f t="shared" si="95"/>
        <v>2400</v>
      </c>
      <c r="AJ105" s="40">
        <f>AI105*20828</f>
        <v>49987200</v>
      </c>
      <c r="AK105" s="40" t="s">
        <v>260</v>
      </c>
      <c r="AL105" s="64">
        <v>33000</v>
      </c>
      <c r="AM105" s="65">
        <v>3364020</v>
      </c>
      <c r="AN105" s="65" t="s">
        <v>350</v>
      </c>
      <c r="AO105" s="64">
        <f t="shared" ref="AO105:AO106" si="108">AM105/AL105</f>
        <v>101.94</v>
      </c>
      <c r="AP105" s="64">
        <f t="shared" ref="AP105:AP106" si="109">AL105*0.1</f>
        <v>3300</v>
      </c>
      <c r="AQ105" s="65">
        <f>AP105*21036</f>
        <v>69418800</v>
      </c>
      <c r="AR105" s="65" t="s">
        <v>359</v>
      </c>
      <c r="AS105" s="37"/>
      <c r="AT105" s="38"/>
      <c r="AU105" s="38"/>
      <c r="AV105" s="37"/>
      <c r="AW105" s="37"/>
      <c r="AX105" s="38"/>
      <c r="AY105" s="38"/>
      <c r="AZ105" s="85"/>
      <c r="BA105" s="86"/>
      <c r="BB105" s="86"/>
      <c r="BC105" s="85"/>
      <c r="BD105" s="85"/>
      <c r="BE105" s="86"/>
      <c r="BF105" s="86"/>
      <c r="BG105" s="86"/>
      <c r="BH105" s="86"/>
      <c r="BI105" s="86"/>
      <c r="BJ105" s="86"/>
      <c r="BK105" s="86"/>
      <c r="BL105" s="86"/>
      <c r="BM105" s="86"/>
      <c r="BN105" s="41"/>
      <c r="BO105" s="127"/>
      <c r="BP105" s="41"/>
      <c r="BQ105" s="41"/>
      <c r="BR105" s="41"/>
      <c r="BS105" s="127"/>
      <c r="BT105" s="41"/>
      <c r="BU105" s="8">
        <f t="shared" si="83"/>
        <v>89100</v>
      </c>
      <c r="BV105" s="263">
        <f>L105-(X105+AE105+BN105+AI105+AL105+AP105+AS105+AW105+AZ105+BD105+BR105+AB105)</f>
        <v>38500</v>
      </c>
      <c r="BW105" s="237" t="s">
        <v>362</v>
      </c>
      <c r="BX105" s="140" t="s">
        <v>357</v>
      </c>
      <c r="BY105" s="139" t="s">
        <v>320</v>
      </c>
      <c r="BZ105" s="29">
        <f t="shared" si="101"/>
        <v>46600</v>
      </c>
      <c r="CA105" s="30">
        <f t="shared" si="90"/>
        <v>-2860500</v>
      </c>
      <c r="CB105" s="42"/>
      <c r="CC105" s="12" t="s">
        <v>283</v>
      </c>
    </row>
    <row r="106" spans="1:98" s="72" customFormat="1" ht="50.25" hidden="1" customHeight="1" x14ac:dyDescent="0.2">
      <c r="A106" s="16">
        <v>19</v>
      </c>
      <c r="B106" s="16" t="s">
        <v>160</v>
      </c>
      <c r="C106" s="16" t="s">
        <v>1</v>
      </c>
      <c r="D106" s="17" t="s">
        <v>2</v>
      </c>
      <c r="E106" s="17"/>
      <c r="F106" s="17"/>
      <c r="G106" s="21">
        <v>40916</v>
      </c>
      <c r="H106" s="16"/>
      <c r="I106" s="18" t="s">
        <v>207</v>
      </c>
      <c r="J106" s="19">
        <v>34759</v>
      </c>
      <c r="K106" s="91">
        <v>9329</v>
      </c>
      <c r="L106" s="91">
        <f>J106+K106</f>
        <v>44088</v>
      </c>
      <c r="M106" s="96">
        <f>N106-L106</f>
        <v>15068</v>
      </c>
      <c r="N106" s="96">
        <v>59156</v>
      </c>
      <c r="O106" s="98"/>
      <c r="P106" s="98"/>
      <c r="Q106" s="103"/>
      <c r="R106" s="103"/>
      <c r="S106" s="98"/>
      <c r="T106" s="98"/>
      <c r="U106" s="184">
        <f t="shared" si="82"/>
        <v>59156</v>
      </c>
      <c r="V106" s="19">
        <f>1.1*2506116</f>
        <v>2756727.6</v>
      </c>
      <c r="W106" s="28">
        <f t="shared" si="91"/>
        <v>79.309749992807625</v>
      </c>
      <c r="X106" s="8">
        <f t="shared" si="107"/>
        <v>12639.636363636362</v>
      </c>
      <c r="Y106" s="9">
        <v>993476</v>
      </c>
      <c r="Z106" s="53" t="s">
        <v>162</v>
      </c>
      <c r="AA106" s="8">
        <f>Y106/X106</f>
        <v>78.600046031243721</v>
      </c>
      <c r="AB106" s="8">
        <f t="shared" si="104"/>
        <v>1263.9636363636364</v>
      </c>
      <c r="AC106" s="9">
        <f t="shared" ref="AC106" si="110">AB106*20828</f>
        <v>26325834.618181817</v>
      </c>
      <c r="AD106" s="57" t="s">
        <v>186</v>
      </c>
      <c r="AE106" s="10">
        <v>12640</v>
      </c>
      <c r="AF106" s="20">
        <v>1151977</v>
      </c>
      <c r="AG106" s="58" t="s">
        <v>218</v>
      </c>
      <c r="AH106" s="10">
        <f t="shared" ref="AH106:AH107" si="111">AF106/AE106</f>
        <v>91.137420886075944</v>
      </c>
      <c r="AI106" s="10">
        <f t="shared" si="95"/>
        <v>1264</v>
      </c>
      <c r="AJ106" s="20">
        <f>AI106*20828</f>
        <v>26326592</v>
      </c>
      <c r="AK106" s="58" t="s">
        <v>229</v>
      </c>
      <c r="AL106" s="61">
        <v>20831.82</v>
      </c>
      <c r="AM106" s="62">
        <v>2142761</v>
      </c>
      <c r="AN106" s="62" t="s">
        <v>346</v>
      </c>
      <c r="AO106" s="61">
        <f t="shared" si="108"/>
        <v>102.85999975038187</v>
      </c>
      <c r="AP106" s="64">
        <f t="shared" si="109"/>
        <v>2083.1820000000002</v>
      </c>
      <c r="AQ106" s="62">
        <f>AP106*21036</f>
        <v>43821816.552000009</v>
      </c>
      <c r="AR106" s="62" t="s">
        <v>360</v>
      </c>
      <c r="AS106" s="81"/>
      <c r="AT106" s="82"/>
      <c r="AU106" s="82"/>
      <c r="AV106" s="81"/>
      <c r="AW106" s="81"/>
      <c r="AX106" s="82"/>
      <c r="AY106" s="82"/>
      <c r="AZ106" s="88"/>
      <c r="BA106" s="89"/>
      <c r="BB106" s="89"/>
      <c r="BC106" s="88"/>
      <c r="BD106" s="88"/>
      <c r="BE106" s="89"/>
      <c r="BF106" s="89"/>
      <c r="BG106" s="89"/>
      <c r="BH106" s="89"/>
      <c r="BI106" s="89"/>
      <c r="BJ106" s="89"/>
      <c r="BK106" s="89"/>
      <c r="BL106" s="89"/>
      <c r="BM106" s="89"/>
      <c r="BN106" s="70"/>
      <c r="BO106" s="153"/>
      <c r="BP106" s="70"/>
      <c r="BQ106" s="70"/>
      <c r="BR106" s="70"/>
      <c r="BS106" s="153"/>
      <c r="BT106" s="70"/>
      <c r="BU106" s="8">
        <f t="shared" si="83"/>
        <v>50722.601999999999</v>
      </c>
      <c r="BV106" s="263">
        <f>N106-(X106+AE106+BN106+AI106+AL106+AP106+AS106+AW106+AZ106+BD106+BR106+AB106)</f>
        <v>8433.398000000001</v>
      </c>
      <c r="BW106" s="246" t="s">
        <v>364</v>
      </c>
      <c r="BX106" s="140" t="s">
        <v>358</v>
      </c>
      <c r="BY106" s="139" t="s">
        <v>320</v>
      </c>
      <c r="BZ106" s="29">
        <f t="shared" si="101"/>
        <v>-2023.45636363636</v>
      </c>
      <c r="CA106" s="30">
        <f t="shared" si="90"/>
        <v>-1782098</v>
      </c>
      <c r="CB106" s="71"/>
      <c r="CC106" s="12" t="s">
        <v>284</v>
      </c>
    </row>
    <row r="107" spans="1:98" s="13" customFormat="1" ht="50.25" hidden="1" customHeight="1" x14ac:dyDescent="0.2">
      <c r="A107" s="16">
        <v>22</v>
      </c>
      <c r="B107" s="16" t="s">
        <v>159</v>
      </c>
      <c r="C107" s="16" t="s">
        <v>1</v>
      </c>
      <c r="D107" s="17" t="s">
        <v>2</v>
      </c>
      <c r="E107" s="17"/>
      <c r="F107" s="17"/>
      <c r="G107" s="21">
        <v>40916</v>
      </c>
      <c r="H107" s="16"/>
      <c r="I107" s="18" t="s">
        <v>206</v>
      </c>
      <c r="J107" s="19">
        <v>33349</v>
      </c>
      <c r="K107" s="91">
        <f>L107-J107</f>
        <v>-2271</v>
      </c>
      <c r="L107" s="91">
        <v>31078</v>
      </c>
      <c r="M107" s="94"/>
      <c r="N107" s="94"/>
      <c r="O107" s="98"/>
      <c r="P107" s="98"/>
      <c r="Q107" s="103"/>
      <c r="R107" s="103"/>
      <c r="S107" s="98"/>
      <c r="T107" s="98"/>
      <c r="U107" s="184">
        <f t="shared" si="82"/>
        <v>31078</v>
      </c>
      <c r="V107" s="19">
        <f>1.1*2404441</f>
        <v>2644885.1</v>
      </c>
      <c r="W107" s="28">
        <f t="shared" si="91"/>
        <v>79.309277639509432</v>
      </c>
      <c r="X107" s="8">
        <f t="shared" si="107"/>
        <v>12126.90909090909</v>
      </c>
      <c r="Y107" s="9">
        <v>953175</v>
      </c>
      <c r="Z107" s="53" t="s">
        <v>162</v>
      </c>
      <c r="AA107" s="8">
        <f t="shared" ref="AA107" si="112">Y107/X107</f>
        <v>78.599995502114012</v>
      </c>
      <c r="AB107" s="8">
        <f t="shared" si="104"/>
        <v>1212.6909090909091</v>
      </c>
      <c r="AC107" s="9">
        <f>AB107*20828</f>
        <v>25257926.254545454</v>
      </c>
      <c r="AD107" s="57" t="s">
        <v>186</v>
      </c>
      <c r="AE107" s="10">
        <v>12127.27</v>
      </c>
      <c r="AF107" s="20">
        <v>1105247</v>
      </c>
      <c r="AG107" s="58" t="s">
        <v>218</v>
      </c>
      <c r="AH107" s="10">
        <f t="shared" si="111"/>
        <v>91.13732934122848</v>
      </c>
      <c r="AI107" s="10">
        <f>AE107*0.1</f>
        <v>1212.7270000000001</v>
      </c>
      <c r="AJ107" s="20">
        <f>AI107*20828</f>
        <v>25258677.956</v>
      </c>
      <c r="AK107" s="58" t="s">
        <v>229</v>
      </c>
      <c r="AL107" s="61"/>
      <c r="AM107" s="62"/>
      <c r="AN107" s="62"/>
      <c r="AO107" s="61"/>
      <c r="AP107" s="61"/>
      <c r="AQ107" s="62"/>
      <c r="AR107" s="62"/>
      <c r="AS107" s="8"/>
      <c r="AT107" s="9"/>
      <c r="AU107" s="9"/>
      <c r="AV107" s="8"/>
      <c r="AW107" s="8"/>
      <c r="AX107" s="9"/>
      <c r="AY107" s="9"/>
      <c r="AZ107" s="83"/>
      <c r="BA107" s="84"/>
      <c r="BB107" s="84"/>
      <c r="BC107" s="83"/>
      <c r="BD107" s="83"/>
      <c r="BE107" s="84"/>
      <c r="BF107" s="84"/>
      <c r="BG107" s="84"/>
      <c r="BH107" s="84"/>
      <c r="BI107" s="84"/>
      <c r="BJ107" s="84"/>
      <c r="BK107" s="84"/>
      <c r="BL107" s="84"/>
      <c r="BM107" s="84"/>
      <c r="BN107" s="11"/>
      <c r="BO107" s="79"/>
      <c r="BP107" s="11"/>
      <c r="BQ107" s="11"/>
      <c r="BR107" s="11"/>
      <c r="BS107" s="79"/>
      <c r="BT107" s="11"/>
      <c r="BU107" s="8">
        <f t="shared" si="83"/>
        <v>26679.596999999998</v>
      </c>
      <c r="BV107" s="263">
        <f>L107-(X107+AE107+BN107+AI107+AL107+AP107+AS107+AW107+AZ107+BD107+BR107+AB107)</f>
        <v>4398.4029999999984</v>
      </c>
      <c r="BW107" s="237" t="s">
        <v>365</v>
      </c>
      <c r="BX107" s="139" t="s">
        <v>303</v>
      </c>
      <c r="BY107" s="139" t="s">
        <v>320</v>
      </c>
      <c r="BZ107" s="29">
        <f t="shared" si="101"/>
        <v>6823.8209090909113</v>
      </c>
      <c r="CA107" s="30">
        <f t="shared" si="90"/>
        <v>346019</v>
      </c>
      <c r="CB107" s="7"/>
      <c r="CC107" s="31" t="s">
        <v>271</v>
      </c>
    </row>
    <row r="108" spans="1:98" s="13" customFormat="1" ht="49.5" hidden="1" customHeight="1" x14ac:dyDescent="0.2">
      <c r="A108" s="16">
        <v>2</v>
      </c>
      <c r="B108" s="22" t="s">
        <v>82</v>
      </c>
      <c r="C108" s="16" t="s">
        <v>1</v>
      </c>
      <c r="D108" s="17" t="s">
        <v>2</v>
      </c>
      <c r="E108" s="33"/>
      <c r="F108" s="33"/>
      <c r="G108" s="34">
        <v>40914</v>
      </c>
      <c r="H108" s="22" t="s">
        <v>78</v>
      </c>
      <c r="I108" s="35" t="s">
        <v>62</v>
      </c>
      <c r="J108" s="36">
        <v>95260</v>
      </c>
      <c r="K108" s="92">
        <f>L108-J108</f>
        <v>31020</v>
      </c>
      <c r="L108" s="92">
        <v>126280</v>
      </c>
      <c r="M108" s="96"/>
      <c r="N108" s="96"/>
      <c r="O108" s="100"/>
      <c r="P108" s="100"/>
      <c r="Q108" s="105"/>
      <c r="R108" s="105"/>
      <c r="S108" s="100"/>
      <c r="T108" s="100"/>
      <c r="U108" s="184">
        <f t="shared" si="82"/>
        <v>126280</v>
      </c>
      <c r="V108" s="36">
        <f>7517919</f>
        <v>7517919</v>
      </c>
      <c r="W108" s="28">
        <f>V108/J108</f>
        <v>78.919997900482883</v>
      </c>
      <c r="X108" s="37">
        <f>J108*0.4/1.1</f>
        <v>34640</v>
      </c>
      <c r="Y108" s="38">
        <v>2688064</v>
      </c>
      <c r="Z108" s="54">
        <v>41132</v>
      </c>
      <c r="AA108" s="8">
        <f>Y108/X108</f>
        <v>77.599999999999994</v>
      </c>
      <c r="AB108" s="37">
        <f>X108*0.1</f>
        <v>3464</v>
      </c>
      <c r="AC108" s="38">
        <f>AB108*20828</f>
        <v>72148192</v>
      </c>
      <c r="AD108" s="38" t="s">
        <v>192</v>
      </c>
      <c r="AE108" s="39">
        <f>38104/1.1</f>
        <v>34640</v>
      </c>
      <c r="AF108" s="40">
        <v>3638932</v>
      </c>
      <c r="AG108" s="40" t="s">
        <v>343</v>
      </c>
      <c r="AH108" s="39">
        <f>AF108/AE108</f>
        <v>105.05</v>
      </c>
      <c r="AI108" s="39">
        <f>AE108*0.1</f>
        <v>3464</v>
      </c>
      <c r="AJ108" s="40">
        <f>AI108*21036</f>
        <v>72868704</v>
      </c>
      <c r="AK108" s="40" t="s">
        <v>348</v>
      </c>
      <c r="AL108" s="271">
        <f>21920</f>
        <v>21920</v>
      </c>
      <c r="AM108" s="272"/>
      <c r="AN108" s="272"/>
      <c r="AO108" s="273"/>
      <c r="AP108" s="271">
        <f>2192</f>
        <v>2192</v>
      </c>
      <c r="AQ108" s="65"/>
      <c r="AR108" s="65"/>
      <c r="AS108" s="37"/>
      <c r="AT108" s="38"/>
      <c r="AU108" s="38"/>
      <c r="AV108" s="8"/>
      <c r="AW108" s="37"/>
      <c r="AX108" s="38"/>
      <c r="AY108" s="38"/>
      <c r="AZ108" s="85"/>
      <c r="BA108" s="86"/>
      <c r="BB108" s="86"/>
      <c r="BC108" s="83"/>
      <c r="BD108" s="85"/>
      <c r="BE108" s="86"/>
      <c r="BF108" s="86"/>
      <c r="BG108" s="86"/>
      <c r="BH108" s="86"/>
      <c r="BI108" s="86"/>
      <c r="BJ108" s="86"/>
      <c r="BK108" s="86"/>
      <c r="BL108" s="86"/>
      <c r="BM108" s="86"/>
      <c r="BN108" s="41"/>
      <c r="BO108" s="127"/>
      <c r="BP108" s="41"/>
      <c r="BQ108" s="41"/>
      <c r="BR108" s="41"/>
      <c r="BS108" s="127"/>
      <c r="BT108" s="41"/>
      <c r="BU108" s="8">
        <f>X108+AB108+AE108+AI108+AL108+AP108+AS108+AW108+AZ108+BD108+BN108+BR108</f>
        <v>100320</v>
      </c>
      <c r="BV108" s="263">
        <f>L108-(X108+AE108+BN108+AI108+AL108+AP108+AS108+AW108+AZ108+BD108+BR108+AB108)</f>
        <v>25960</v>
      </c>
      <c r="BW108" s="237"/>
      <c r="BX108" s="139" t="s">
        <v>304</v>
      </c>
      <c r="BY108" s="139" t="s">
        <v>320</v>
      </c>
      <c r="BZ108" s="29">
        <f>L108-X108-AE108-BN108-AL108-AS108-AZ108</f>
        <v>35080</v>
      </c>
      <c r="CA108" s="30">
        <f>V108/1.1-Y108-AF108-BO108-AM108-AT108-BA108</f>
        <v>507475.81818181742</v>
      </c>
      <c r="CB108" s="42"/>
      <c r="CC108" s="7" t="s">
        <v>293</v>
      </c>
    </row>
    <row r="109" spans="1:98" s="75" customFormat="1" ht="49.5" hidden="1" customHeight="1" x14ac:dyDescent="0.2">
      <c r="A109" s="16">
        <v>1</v>
      </c>
      <c r="B109" s="22" t="s">
        <v>79</v>
      </c>
      <c r="C109" s="22" t="s">
        <v>74</v>
      </c>
      <c r="D109" s="17" t="s">
        <v>9</v>
      </c>
      <c r="E109" s="33"/>
      <c r="F109" s="33"/>
      <c r="G109" s="34" t="s">
        <v>75</v>
      </c>
      <c r="H109" s="22" t="s">
        <v>77</v>
      </c>
      <c r="I109" s="35" t="s">
        <v>76</v>
      </c>
      <c r="J109" s="36">
        <f>186528</f>
        <v>186528</v>
      </c>
      <c r="K109" s="92"/>
      <c r="L109" s="92"/>
      <c r="M109" s="96">
        <f>N109-J109</f>
        <v>206392</v>
      </c>
      <c r="N109" s="96">
        <v>392920</v>
      </c>
      <c r="O109" s="100"/>
      <c r="P109" s="100"/>
      <c r="Q109" s="105"/>
      <c r="R109" s="105"/>
      <c r="S109" s="100"/>
      <c r="T109" s="100"/>
      <c r="U109" s="184">
        <f t="shared" si="82"/>
        <v>392920</v>
      </c>
      <c r="V109" s="36">
        <f>14720789</f>
        <v>14720789</v>
      </c>
      <c r="W109" s="28">
        <f>V109/J109</f>
        <v>78.919995925544697</v>
      </c>
      <c r="X109" s="8">
        <v>67113.08</v>
      </c>
      <c r="Y109" s="38">
        <f>5299484</f>
        <v>5299484</v>
      </c>
      <c r="Z109" s="54" t="s">
        <v>145</v>
      </c>
      <c r="AA109" s="8">
        <f t="shared" ref="AA109" si="113">Y109/X109</f>
        <v>78.963504580627202</v>
      </c>
      <c r="AB109" s="37">
        <f t="shared" ref="AB109" si="114">X109*0.1</f>
        <v>6711.3080000000009</v>
      </c>
      <c r="AC109" s="38">
        <f>AB109*20828</f>
        <v>139783123.02400002</v>
      </c>
      <c r="AD109" s="57" t="s">
        <v>163</v>
      </c>
      <c r="AE109" s="3">
        <v>33914.18</v>
      </c>
      <c r="AF109" s="14">
        <v>2701604</v>
      </c>
      <c r="AG109" s="138" t="s">
        <v>181</v>
      </c>
      <c r="AH109" s="3">
        <f t="shared" ref="AH109" si="115">AF109/AE109</f>
        <v>79.660012419583779</v>
      </c>
      <c r="AI109" s="3">
        <f>AE109*0.1</f>
        <v>3391.4180000000001</v>
      </c>
      <c r="AJ109" s="14">
        <f>AI109*20828</f>
        <v>70636454.104000002</v>
      </c>
      <c r="AK109" s="14" t="s">
        <v>192</v>
      </c>
      <c r="AL109" s="61">
        <f>33914.18+715.28</f>
        <v>34629.46</v>
      </c>
      <c r="AM109" s="62">
        <v>3503809</v>
      </c>
      <c r="AN109" s="130" t="s">
        <v>253</v>
      </c>
      <c r="AO109" s="61">
        <f t="shared" ref="AO109" si="116">AM109/AL109</f>
        <v>101.18000684965922</v>
      </c>
      <c r="AP109" s="61">
        <f t="shared" ref="AP109" si="117">AL109*0.1</f>
        <v>3462.9459999999999</v>
      </c>
      <c r="AQ109" s="62">
        <f>AP109*21036</f>
        <v>72846532.055999994</v>
      </c>
      <c r="AR109" s="63" t="s">
        <v>298</v>
      </c>
      <c r="AS109" s="37">
        <f>30958.4/1.1</f>
        <v>28144</v>
      </c>
      <c r="AT109" s="38">
        <v>2882508</v>
      </c>
      <c r="AU109" s="38" t="s">
        <v>329</v>
      </c>
      <c r="AV109" s="37">
        <f>AT109/AS109</f>
        <v>102.41998294485504</v>
      </c>
      <c r="AW109" s="37">
        <f>AS109*0.1</f>
        <v>2814.4</v>
      </c>
      <c r="AX109" s="38">
        <f>AW109*21036</f>
        <v>59203718.399999999</v>
      </c>
      <c r="AY109" s="59" t="s">
        <v>342</v>
      </c>
      <c r="AZ109" s="85">
        <f>106370/1.1</f>
        <v>96699.999999999985</v>
      </c>
      <c r="BA109" s="86">
        <v>9830522</v>
      </c>
      <c r="BB109" s="85" t="s">
        <v>368</v>
      </c>
      <c r="BC109" s="85">
        <f>BA109/AZ109</f>
        <v>101.66000000000001</v>
      </c>
      <c r="BD109" s="85">
        <f>AZ109*0.1</f>
        <v>9669.9999999999982</v>
      </c>
      <c r="BE109" s="86">
        <f>BD109*21246</f>
        <v>205448819.99999997</v>
      </c>
      <c r="BF109" s="205" t="s">
        <v>388</v>
      </c>
      <c r="BG109" s="287">
        <f>53184.6/1.1</f>
        <v>48349.63636363636</v>
      </c>
      <c r="BH109" s="286"/>
      <c r="BI109" s="286"/>
      <c r="BJ109" s="286"/>
      <c r="BK109" s="287">
        <f>BG109*0.1</f>
        <v>4834.9636363636364</v>
      </c>
      <c r="BL109" s="286"/>
      <c r="BM109" s="286"/>
      <c r="BN109" s="11"/>
      <c r="BO109" s="79"/>
      <c r="BP109" s="11"/>
      <c r="BQ109" s="11"/>
      <c r="BR109" s="11"/>
      <c r="BS109" s="79"/>
      <c r="BT109" s="11"/>
      <c r="BU109" s="8">
        <f>X109+AB109+AE109+AI109+AL109+AP109+AS109+AW109+AZ109+BD109+BN109+BR109+BG109+BK109</f>
        <v>339735.39199999993</v>
      </c>
      <c r="BV109" s="262">
        <f>N109-(X109+AE109+BN109+AI109+AL109+AP109+AS109+AW109+AZ109+BD109+BR109+AB109+BG109+BK109)</f>
        <v>53184.608000000007</v>
      </c>
      <c r="BW109" s="247" t="s">
        <v>366</v>
      </c>
      <c r="BX109" s="139" t="s">
        <v>367</v>
      </c>
      <c r="BY109" s="140" t="s">
        <v>330</v>
      </c>
      <c r="BZ109" s="29">
        <f>J109-X109-AE109-BN109-AL109-AS109-AZ109</f>
        <v>-73972.72</v>
      </c>
      <c r="CA109" s="30">
        <f t="shared" si="90"/>
        <v>-10835391.545454547</v>
      </c>
      <c r="CB109" s="33"/>
      <c r="CC109" s="12" t="s">
        <v>344</v>
      </c>
      <c r="CD109" s="113"/>
      <c r="CE109" s="113"/>
      <c r="CF109" s="113"/>
      <c r="CG109" s="113"/>
      <c r="CH109" s="113"/>
      <c r="CI109" s="113"/>
      <c r="CJ109" s="113"/>
      <c r="CK109" s="113"/>
      <c r="CL109" s="113"/>
      <c r="CM109" s="113"/>
      <c r="CN109" s="113"/>
      <c r="CO109" s="113"/>
      <c r="CP109" s="113"/>
      <c r="CQ109" s="113"/>
      <c r="CR109" s="113"/>
      <c r="CS109" s="113"/>
      <c r="CT109" s="113"/>
    </row>
    <row r="110" spans="1:98" s="13" customFormat="1" ht="49.5" hidden="1" customHeight="1" x14ac:dyDescent="0.2">
      <c r="A110" s="157"/>
      <c r="B110" s="22" t="s">
        <v>378</v>
      </c>
      <c r="C110" s="22" t="s">
        <v>325</v>
      </c>
      <c r="D110" s="1" t="s">
        <v>106</v>
      </c>
      <c r="E110" s="33"/>
      <c r="F110" s="33"/>
      <c r="G110" s="6">
        <v>40914</v>
      </c>
      <c r="H110" s="22"/>
      <c r="I110" s="158" t="s">
        <v>326</v>
      </c>
      <c r="J110" s="2">
        <v>72214</v>
      </c>
      <c r="K110" s="92"/>
      <c r="L110" s="92"/>
      <c r="M110" s="96"/>
      <c r="N110" s="96"/>
      <c r="O110" s="100"/>
      <c r="P110" s="100"/>
      <c r="Q110" s="105"/>
      <c r="R110" s="105"/>
      <c r="S110" s="100"/>
      <c r="T110" s="100"/>
      <c r="U110" s="184">
        <f t="shared" si="82"/>
        <v>72214</v>
      </c>
      <c r="V110" s="36">
        <v>5206662</v>
      </c>
      <c r="W110" s="28">
        <f>V110/(J110/1.1)</f>
        <v>79.310496579610614</v>
      </c>
      <c r="X110" s="8">
        <v>32825</v>
      </c>
      <c r="Y110" s="38">
        <v>2579966</v>
      </c>
      <c r="Z110" s="37" t="s">
        <v>168</v>
      </c>
      <c r="AA110" s="37">
        <f>Y110/X110</f>
        <v>78.59759329779132</v>
      </c>
      <c r="AB110" s="37">
        <f>X110*0.1</f>
        <v>3282.5</v>
      </c>
      <c r="AC110" s="38">
        <f>AB110*21246</f>
        <v>69739995</v>
      </c>
      <c r="AD110" s="38" t="s">
        <v>393</v>
      </c>
      <c r="AE110" s="288">
        <f>32824.09</f>
        <v>32824.089999999997</v>
      </c>
      <c r="AF110" s="289">
        <v>3588986</v>
      </c>
      <c r="AG110" s="290" t="s">
        <v>394</v>
      </c>
      <c r="AH110" s="288">
        <f>AF110/AE110</f>
        <v>109.33999998172075</v>
      </c>
      <c r="AI110" s="288">
        <f t="shared" ref="AI110" si="118">AE110*0.1</f>
        <v>3282.4089999999997</v>
      </c>
      <c r="AJ110" s="289"/>
      <c r="AK110" s="290"/>
      <c r="AL110" s="64"/>
      <c r="AM110" s="65"/>
      <c r="AN110" s="65"/>
      <c r="AO110" s="64"/>
      <c r="AP110" s="64"/>
      <c r="AQ110" s="65"/>
      <c r="AR110" s="65"/>
      <c r="AS110" s="37"/>
      <c r="AT110" s="38"/>
      <c r="AU110" s="38"/>
      <c r="AV110" s="37"/>
      <c r="AW110" s="37"/>
      <c r="AX110" s="38"/>
      <c r="AY110" s="38"/>
      <c r="AZ110" s="85"/>
      <c r="BA110" s="86"/>
      <c r="BB110" s="86"/>
      <c r="BC110" s="85"/>
      <c r="BD110" s="85"/>
      <c r="BE110" s="86"/>
      <c r="BF110" s="86"/>
      <c r="BG110" s="282"/>
      <c r="BH110" s="282"/>
      <c r="BI110" s="282"/>
      <c r="BJ110" s="282"/>
      <c r="BK110" s="282"/>
      <c r="BL110" s="282"/>
      <c r="BM110" s="282"/>
      <c r="BN110" s="41"/>
      <c r="BO110" s="41"/>
      <c r="BP110" s="41"/>
      <c r="BQ110" s="41"/>
      <c r="BR110" s="41"/>
      <c r="BS110" s="41"/>
      <c r="BT110" s="159"/>
      <c r="BU110" s="8">
        <f t="shared" ref="BU110" si="119">X110+AB110+AE110+AI110+AL110+AP110+AS110+AW110+AZ110+BD110+BN110+BR110</f>
        <v>72213.998999999996</v>
      </c>
      <c r="BV110" s="264">
        <f>J110-(X110+AE110+BN110+AI110+AL110+AP110+AS110+AW110+AZ110+BD110+BR110+AB110)</f>
        <v>1.0000000038417056E-3</v>
      </c>
      <c r="BW110" s="237"/>
      <c r="BX110" s="139" t="s">
        <v>395</v>
      </c>
      <c r="BY110" s="139"/>
      <c r="BZ110" s="30"/>
      <c r="CA110" s="276">
        <f t="shared" si="90"/>
        <v>-1435622.9090909092</v>
      </c>
      <c r="CB110" s="7"/>
    </row>
    <row r="111" spans="1:98" ht="20.100000000000001" hidden="1" customHeight="1" x14ac:dyDescent="0.2">
      <c r="A111" s="186"/>
      <c r="B111" s="195"/>
      <c r="C111" s="196"/>
      <c r="D111" s="197"/>
      <c r="E111" s="197"/>
      <c r="F111" s="197"/>
      <c r="G111" s="196"/>
      <c r="H111" s="196"/>
      <c r="I111" s="198"/>
      <c r="J111" s="199"/>
      <c r="K111" s="199"/>
      <c r="L111" s="199"/>
      <c r="M111" s="199"/>
      <c r="N111" s="199"/>
      <c r="O111" s="199"/>
      <c r="P111" s="199"/>
      <c r="Q111" s="199"/>
      <c r="R111" s="199"/>
      <c r="S111" s="199"/>
      <c r="T111" s="199"/>
      <c r="U111" s="199"/>
      <c r="V111" s="199"/>
      <c r="W111" s="199"/>
      <c r="X111" s="199"/>
      <c r="Y111" s="199"/>
      <c r="Z111" s="199"/>
      <c r="AA111" s="199"/>
      <c r="AB111" s="199"/>
      <c r="AC111" s="199"/>
      <c r="AD111" s="199"/>
      <c r="AE111" s="199"/>
      <c r="AF111" s="199"/>
      <c r="AG111" s="199"/>
      <c r="AH111" s="199"/>
      <c r="AI111" s="199"/>
      <c r="AJ111" s="199"/>
      <c r="AK111" s="199"/>
      <c r="AL111" s="199"/>
      <c r="AM111" s="199"/>
      <c r="AN111" s="199"/>
      <c r="AO111" s="199"/>
      <c r="AP111" s="199"/>
      <c r="AQ111" s="199"/>
      <c r="AR111" s="199"/>
      <c r="AS111" s="199"/>
      <c r="AT111" s="199"/>
      <c r="AU111" s="199"/>
      <c r="AV111" s="199"/>
      <c r="AW111" s="199"/>
      <c r="AX111" s="199"/>
      <c r="AY111" s="199"/>
      <c r="AZ111" s="199"/>
      <c r="BA111" s="199"/>
      <c r="BB111" s="199"/>
      <c r="BC111" s="199"/>
      <c r="BD111" s="199"/>
      <c r="BE111" s="199"/>
      <c r="BF111" s="199"/>
      <c r="BG111" s="199"/>
      <c r="BH111" s="199"/>
      <c r="BI111" s="199"/>
      <c r="BJ111" s="199"/>
      <c r="BK111" s="199"/>
      <c r="BL111" s="199"/>
      <c r="BM111" s="199"/>
      <c r="BN111" s="199"/>
      <c r="BO111" s="199"/>
      <c r="BP111" s="199"/>
      <c r="BQ111" s="199"/>
      <c r="BR111" s="199"/>
      <c r="BS111" s="199"/>
      <c r="BT111" s="199"/>
      <c r="BU111" s="199"/>
      <c r="BV111" s="199"/>
      <c r="BW111" s="244"/>
      <c r="BX111" s="202"/>
      <c r="BY111" s="193"/>
    </row>
    <row r="112" spans="1:98" s="162" customFormat="1" ht="20.100000000000001" hidden="1" customHeight="1" x14ac:dyDescent="0.2">
      <c r="A112" s="216"/>
      <c r="B112" s="216"/>
      <c r="C112" s="217" t="s">
        <v>240</v>
      </c>
      <c r="D112" s="218"/>
      <c r="E112" s="218"/>
      <c r="F112" s="218"/>
      <c r="G112" s="217"/>
      <c r="H112" s="217"/>
      <c r="I112" s="219"/>
      <c r="J112" s="220">
        <f t="shared" ref="J112:AO112" si="120">J96+J97+J98</f>
        <v>913102</v>
      </c>
      <c r="K112" s="220">
        <f t="shared" si="120"/>
        <v>225778.9</v>
      </c>
      <c r="L112" s="220">
        <f t="shared" si="120"/>
        <v>830353.9</v>
      </c>
      <c r="M112" s="220">
        <f t="shared" si="120"/>
        <v>225231</v>
      </c>
      <c r="N112" s="220">
        <f t="shared" si="120"/>
        <v>547234</v>
      </c>
      <c r="O112" s="220">
        <f t="shared" si="120"/>
        <v>0</v>
      </c>
      <c r="P112" s="220">
        <f t="shared" si="120"/>
        <v>0</v>
      </c>
      <c r="Q112" s="220">
        <f t="shared" si="120"/>
        <v>0</v>
      </c>
      <c r="R112" s="220">
        <f t="shared" si="120"/>
        <v>0</v>
      </c>
      <c r="S112" s="220">
        <f t="shared" si="120"/>
        <v>0</v>
      </c>
      <c r="T112" s="220">
        <f t="shared" si="120"/>
        <v>0</v>
      </c>
      <c r="U112" s="220">
        <f t="shared" si="120"/>
        <v>1364111.9</v>
      </c>
      <c r="V112" s="220">
        <f t="shared" si="120"/>
        <v>72278421.700000003</v>
      </c>
      <c r="W112" s="220">
        <f t="shared" si="120"/>
        <v>953.90474915973004</v>
      </c>
      <c r="X112" s="220">
        <f t="shared" si="120"/>
        <v>339697.1709090909</v>
      </c>
      <c r="Y112" s="220">
        <f t="shared" si="120"/>
        <v>27060370</v>
      </c>
      <c r="Z112" s="220">
        <f t="shared" si="120"/>
        <v>41132</v>
      </c>
      <c r="AA112" s="220">
        <f t="shared" si="120"/>
        <v>955.38017558340243</v>
      </c>
      <c r="AB112" s="220">
        <f t="shared" si="120"/>
        <v>31978.317090909095</v>
      </c>
      <c r="AC112" s="220">
        <f t="shared" si="120"/>
        <v>667416477.46036363</v>
      </c>
      <c r="AD112" s="220">
        <f t="shared" si="120"/>
        <v>0</v>
      </c>
      <c r="AE112" s="220">
        <f t="shared" si="120"/>
        <v>304687.71818181814</v>
      </c>
      <c r="AF112" s="220">
        <f t="shared" si="120"/>
        <v>28673357</v>
      </c>
      <c r="AG112" s="220">
        <f t="shared" si="120"/>
        <v>0</v>
      </c>
      <c r="AH112" s="220">
        <f t="shared" si="120"/>
        <v>1115.0572481754821</v>
      </c>
      <c r="AI112" s="220">
        <f t="shared" si="120"/>
        <v>30468.771818181816</v>
      </c>
      <c r="AJ112" s="220">
        <f t="shared" si="120"/>
        <v>566958083.95890903</v>
      </c>
      <c r="AK112" s="220">
        <f t="shared" si="120"/>
        <v>0</v>
      </c>
      <c r="AL112" s="220">
        <f t="shared" si="120"/>
        <v>141349.46</v>
      </c>
      <c r="AM112" s="220">
        <f t="shared" si="120"/>
        <v>12167468</v>
      </c>
      <c r="AN112" s="220">
        <f t="shared" si="120"/>
        <v>0</v>
      </c>
      <c r="AO112" s="220">
        <f t="shared" si="120"/>
        <v>509.85859782872541</v>
      </c>
      <c r="AP112" s="220">
        <f t="shared" ref="AP112:BX112" si="121">AP96+AP97+AP98</f>
        <v>14134.946</v>
      </c>
      <c r="AQ112" s="220">
        <f t="shared" si="121"/>
        <v>251231812.05600002</v>
      </c>
      <c r="AR112" s="220">
        <f t="shared" si="121"/>
        <v>0</v>
      </c>
      <c r="AS112" s="220">
        <f t="shared" si="121"/>
        <v>28144</v>
      </c>
      <c r="AT112" s="220">
        <f t="shared" si="121"/>
        <v>2882508</v>
      </c>
      <c r="AU112" s="220">
        <f t="shared" si="121"/>
        <v>0</v>
      </c>
      <c r="AV112" s="220">
        <f t="shared" si="121"/>
        <v>102.41998294485504</v>
      </c>
      <c r="AW112" s="220">
        <f t="shared" si="121"/>
        <v>2814.4</v>
      </c>
      <c r="AX112" s="220">
        <f t="shared" si="121"/>
        <v>59203718.399999999</v>
      </c>
      <c r="AY112" s="220">
        <f t="shared" si="121"/>
        <v>0</v>
      </c>
      <c r="AZ112" s="220">
        <f t="shared" si="121"/>
        <v>96699.999999999985</v>
      </c>
      <c r="BA112" s="220">
        <f t="shared" si="121"/>
        <v>9830522</v>
      </c>
      <c r="BB112" s="220">
        <f t="shared" si="121"/>
        <v>0</v>
      </c>
      <c r="BC112" s="220">
        <f t="shared" si="121"/>
        <v>101.66000000000001</v>
      </c>
      <c r="BD112" s="220">
        <f t="shared" si="121"/>
        <v>9669.9999999999982</v>
      </c>
      <c r="BE112" s="220">
        <f t="shared" si="121"/>
        <v>205448819.99999997</v>
      </c>
      <c r="BF112" s="220">
        <f t="shared" si="121"/>
        <v>0</v>
      </c>
      <c r="BG112" s="220"/>
      <c r="BH112" s="220"/>
      <c r="BI112" s="220"/>
      <c r="BJ112" s="220"/>
      <c r="BK112" s="220"/>
      <c r="BL112" s="220"/>
      <c r="BM112" s="220"/>
      <c r="BN112" s="220">
        <f t="shared" si="121"/>
        <v>0</v>
      </c>
      <c r="BO112" s="220">
        <f t="shared" si="121"/>
        <v>0</v>
      </c>
      <c r="BP112" s="220">
        <f t="shared" si="121"/>
        <v>0</v>
      </c>
      <c r="BQ112" s="220">
        <f t="shared" si="121"/>
        <v>0</v>
      </c>
      <c r="BR112" s="220">
        <f t="shared" si="121"/>
        <v>0</v>
      </c>
      <c r="BS112" s="220">
        <f t="shared" si="121"/>
        <v>0</v>
      </c>
      <c r="BT112" s="220">
        <f t="shared" si="121"/>
        <v>0</v>
      </c>
      <c r="BU112" s="220">
        <f t="shared" si="121"/>
        <v>1052829.3840000001</v>
      </c>
      <c r="BV112" s="220">
        <f>BV96+BV97+BV98</f>
        <v>311282.51599999995</v>
      </c>
      <c r="BW112" s="220">
        <f t="shared" si="121"/>
        <v>0</v>
      </c>
      <c r="BX112" s="220">
        <f t="shared" si="121"/>
        <v>0</v>
      </c>
      <c r="BY112" s="221"/>
      <c r="BZ112" s="172"/>
      <c r="CA112" s="173"/>
    </row>
    <row r="113" spans="28:74" ht="20.100000000000001" hidden="1" customHeight="1" x14ac:dyDescent="0.2">
      <c r="BV113" s="169">
        <f>BV112-BV85</f>
        <v>68367.90499999997</v>
      </c>
    </row>
    <row r="114" spans="28:74" ht="20.100000000000001" customHeight="1" x14ac:dyDescent="0.2">
      <c r="AB114" s="167">
        <f>X109+AB109</f>
        <v>73824.388000000006</v>
      </c>
      <c r="AE114" s="167">
        <f>AE109+AI109</f>
        <v>37305.597999999998</v>
      </c>
      <c r="AL114" s="167">
        <f>AL109+AP109</f>
        <v>38092.406000000003</v>
      </c>
    </row>
  </sheetData>
  <autoFilter ref="A4:CC71">
    <filterColumn colId="9" showButton="0"/>
    <filterColumn colId="10" hiddenButton="1" showButton="0"/>
    <filterColumn colId="11" hiddenButton="1" showButton="0"/>
    <filterColumn colId="12" hiddenButton="1" showButton="0"/>
    <filterColumn colId="13" hiddenButton="1" showButton="0"/>
    <filterColumn colId="14" hiddenButton="1" showButton="0"/>
    <filterColumn colId="15" hiddenButton="1" showButton="0"/>
    <filterColumn colId="16" hiddenButton="1" showButton="0"/>
    <filterColumn colId="17" hiddenButton="1" showButton="0"/>
    <filterColumn colId="18" hiddenButton="1" showButton="0"/>
    <filterColumn colId="19" hiddenButton="1" showButton="0"/>
    <filterColumn colId="20" hiddenButton="1" showButton="0"/>
    <filterColumn colId="23" showButton="0"/>
    <filterColumn colId="24" showButton="0"/>
    <filterColumn colId="25" hiddenButton="1" showButton="0"/>
    <filterColumn colId="26" showButton="0"/>
    <filterColumn colId="27" showButton="0"/>
    <filterColumn colId="28" showButton="0"/>
    <filterColumn colId="29" hiddenButton="1" showButton="0"/>
    <filterColumn colId="30" showButton="0"/>
    <filterColumn colId="31" showButton="0"/>
    <filterColumn colId="32" hiddenButton="1" showButton="0"/>
    <filterColumn colId="33" showButton="0"/>
    <filterColumn colId="34" showButton="0"/>
    <filterColumn colId="35" showButton="0"/>
    <filterColumn colId="36" hiddenButton="1" showButton="0"/>
    <filterColumn colId="37" hiddenButton="1" showButton="0"/>
    <filterColumn colId="38" hiddenButton="1" showButton="0"/>
    <filterColumn colId="39" hiddenButton="1" showButton="0"/>
    <filterColumn colId="40" hiddenButton="1" showButton="0"/>
    <filterColumn colId="41" hiddenButton="1" showButton="0"/>
    <filterColumn colId="42" hiddenButton="1" showButton="0"/>
    <filterColumn colId="43" hiddenButton="1" showButton="0"/>
    <filterColumn colId="44" hiddenButton="1" showButton="0"/>
    <filterColumn colId="45" hiddenButton="1" showButton="0"/>
    <filterColumn colId="46" hiddenButton="1" showButton="0"/>
    <filterColumn colId="47" hiddenButton="1" showButton="0"/>
    <filterColumn colId="48" hiddenButton="1" showButton="0"/>
    <filterColumn colId="49" hiddenButton="1" showButton="0"/>
    <filterColumn colId="50" hiddenButton="1" showButton="0"/>
    <filterColumn colId="51" hiddenButton="1" showButton="0"/>
    <filterColumn colId="52" hiddenButton="1" showButton="0"/>
    <filterColumn colId="53" hiddenButton="1" showButton="0"/>
    <filterColumn colId="54" hiddenButton="1" showButton="0"/>
    <filterColumn colId="55" hiddenButton="1" showButton="0"/>
    <filterColumn colId="56" hiddenButton="1" showButton="0"/>
    <filterColumn colId="57" hiddenButton="1" showButton="0"/>
    <filterColumn colId="58" hiddenButton="1" showButton="0"/>
    <filterColumn colId="59" hiddenButton="1" showButton="0"/>
    <filterColumn colId="60" hiddenButton="1" showButton="0"/>
    <filterColumn colId="61" hiddenButton="1" showButton="0"/>
    <filterColumn colId="62" hiddenButton="1" showButton="0"/>
    <filterColumn colId="63" hiddenButton="1" showButton="0"/>
    <filterColumn colId="64" hiddenButton="1" showButton="0"/>
    <filterColumn colId="65" showButton="0"/>
    <filterColumn colId="66" showButton="0"/>
    <filterColumn colId="67" hiddenButton="1" showButton="0"/>
    <filterColumn colId="68" hiddenButton="1" showButton="0"/>
    <filterColumn colId="69" showButton="0"/>
  </autoFilter>
  <mergeCells count="112">
    <mergeCell ref="BV4:BV6"/>
    <mergeCell ref="BW4:BW6"/>
    <mergeCell ref="AE5:AK5"/>
    <mergeCell ref="AL5:AR5"/>
    <mergeCell ref="AS5:AY5"/>
    <mergeCell ref="AZ5:BF5"/>
    <mergeCell ref="A2:CB2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BN5:BT5"/>
    <mergeCell ref="BG5:BM5"/>
    <mergeCell ref="A7:CB7"/>
    <mergeCell ref="A8:I8"/>
    <mergeCell ref="A24:I24"/>
    <mergeCell ref="A28:I28"/>
    <mergeCell ref="A54:I54"/>
    <mergeCell ref="CC4:CC6"/>
    <mergeCell ref="J5:J6"/>
    <mergeCell ref="K5:L5"/>
    <mergeCell ref="M5:N5"/>
    <mergeCell ref="O5:P5"/>
    <mergeCell ref="Q5:R5"/>
    <mergeCell ref="S5:T5"/>
    <mergeCell ref="U5:U6"/>
    <mergeCell ref="V5:V6"/>
    <mergeCell ref="X5:AD5"/>
    <mergeCell ref="BX4:BX6"/>
    <mergeCell ref="BY4:BY6"/>
    <mergeCell ref="BZ4:BZ6"/>
    <mergeCell ref="CA4:CA6"/>
    <mergeCell ref="CB4:CB6"/>
    <mergeCell ref="J4:V4"/>
    <mergeCell ref="W4:W6"/>
    <mergeCell ref="X4:BT4"/>
    <mergeCell ref="BU4:BU6"/>
    <mergeCell ref="A64:I64"/>
    <mergeCell ref="A66:BY66"/>
    <mergeCell ref="A67:A69"/>
    <mergeCell ref="B67:B69"/>
    <mergeCell ref="C67:C69"/>
    <mergeCell ref="D67:D69"/>
    <mergeCell ref="E67:E69"/>
    <mergeCell ref="F67:F69"/>
    <mergeCell ref="G67:G69"/>
    <mergeCell ref="H67:H69"/>
    <mergeCell ref="BN68:BT68"/>
    <mergeCell ref="I67:I69"/>
    <mergeCell ref="AZ68:BF68"/>
    <mergeCell ref="CC67:CC69"/>
    <mergeCell ref="J68:J69"/>
    <mergeCell ref="K68:L68"/>
    <mergeCell ref="M68:N68"/>
    <mergeCell ref="O68:P68"/>
    <mergeCell ref="Q68:R68"/>
    <mergeCell ref="S68:T68"/>
    <mergeCell ref="U68:U69"/>
    <mergeCell ref="V68:V69"/>
    <mergeCell ref="X68:AD68"/>
    <mergeCell ref="BX67:BX69"/>
    <mergeCell ref="BY67:BY69"/>
    <mergeCell ref="BZ67:BZ69"/>
    <mergeCell ref="CA67:CA69"/>
    <mergeCell ref="CB67:CB69"/>
    <mergeCell ref="J67:V67"/>
    <mergeCell ref="W67:W69"/>
    <mergeCell ref="X67:BT67"/>
    <mergeCell ref="BU67:BU69"/>
    <mergeCell ref="BV67:BV69"/>
    <mergeCell ref="AE68:AK68"/>
    <mergeCell ref="AL68:AR68"/>
    <mergeCell ref="AS68:AY68"/>
    <mergeCell ref="V94:V95"/>
    <mergeCell ref="A93:A95"/>
    <mergeCell ref="B93:B95"/>
    <mergeCell ref="C93:C95"/>
    <mergeCell ref="D93:D95"/>
    <mergeCell ref="E93:E95"/>
    <mergeCell ref="F93:F95"/>
    <mergeCell ref="G93:G95"/>
    <mergeCell ref="H93:H95"/>
    <mergeCell ref="I93:I95"/>
    <mergeCell ref="X94:AD94"/>
    <mergeCell ref="AE94:AK94"/>
    <mergeCell ref="BY93:BY95"/>
    <mergeCell ref="BZ93:BZ95"/>
    <mergeCell ref="CA93:CA95"/>
    <mergeCell ref="CB93:CB95"/>
    <mergeCell ref="CC93:CC95"/>
    <mergeCell ref="J93:V93"/>
    <mergeCell ref="W93:W95"/>
    <mergeCell ref="X93:BT93"/>
    <mergeCell ref="BU93:BU95"/>
    <mergeCell ref="BV93:BV95"/>
    <mergeCell ref="BX93:BX95"/>
    <mergeCell ref="J94:J95"/>
    <mergeCell ref="K94:L94"/>
    <mergeCell ref="M94:N94"/>
    <mergeCell ref="O94:P94"/>
    <mergeCell ref="AL94:AR94"/>
    <mergeCell ref="AS94:AY94"/>
    <mergeCell ref="AZ94:BF94"/>
    <mergeCell ref="BN94:BT94"/>
    <mergeCell ref="Q94:R94"/>
    <mergeCell ref="S94:T94"/>
    <mergeCell ref="U94:U95"/>
  </mergeCells>
  <pageMargins left="0.15748031496062992" right="0.15748031496062992" top="0.15748031496062992" bottom="0.35433070866141736" header="0.19685039370078741" footer="0.31496062992125984"/>
  <pageSetup paperSize="8" scale="4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NY paid</vt:lpstr>
      <vt:lpstr>All sub-Consultant</vt:lpstr>
      <vt:lpstr>Sheet1</vt:lpstr>
      <vt:lpstr>'All sub-Consultant'!Print_Titles</vt:lpstr>
      <vt:lpstr>'NY paid'!Print_Titles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DSIV</dc:creator>
  <cp:lastModifiedBy>Windows</cp:lastModifiedBy>
  <cp:lastPrinted>2015-03-25T01:58:17Z</cp:lastPrinted>
  <dcterms:created xsi:type="dcterms:W3CDTF">2011-11-18T04:29:06Z</dcterms:created>
  <dcterms:modified xsi:type="dcterms:W3CDTF">2015-12-03T08:04:45Z</dcterms:modified>
</cp:coreProperties>
</file>